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ocuments\LICITACOES\PE 64 2021 CONTROLADOR ACESSO\"/>
    </mc:Choice>
  </mc:AlternateContent>
  <bookViews>
    <workbookView xWindow="0" yWindow="0" windowWidth="24000" windowHeight="9735" tabRatio="948" activeTab="4"/>
  </bookViews>
  <sheets>
    <sheet name="Geral" sheetId="18" r:id="rId1"/>
    <sheet name="VIGILANTE" sheetId="30" r:id="rId2"/>
    <sheet name="Unif" sheetId="25" r:id="rId3"/>
    <sheet name="Equip" sheetId="31" r:id="rId4"/>
    <sheet name="TOTAL" sheetId="28" r:id="rId5"/>
  </sheets>
  <definedNames>
    <definedName name="_xlnm.Print_Area" localSheetId="0">Geral!$A$1:$E$37</definedName>
    <definedName name="_xlnm.Print_Area" localSheetId="1">VIGILANTE!$B$1:$F$152</definedName>
    <definedName name="Estudo_sobre_a_composição_dos_Custosdos_valores_limites_para_Serviço_de_Vigilância___Estado_de_São_Paulo_2018">Geral!$H$15</definedName>
    <definedName name="Excel_BuiltIn_Print_Area_1" localSheetId="1">#REF!</definedName>
    <definedName name="Excel_BuiltIn_Print_Area_1">#REF!</definedName>
    <definedName name="Excel_BuiltIn_Print_Area_2" localSheetId="1">#REF!</definedName>
    <definedName name="Excel_BuiltIn_Print_Area_2">#REF!</definedName>
    <definedName name="Teste" localSheetId="1">#REF!</definedName>
    <definedName name="Teste">#REF!</definedName>
  </definedNames>
  <calcPr calcId="152511"/>
</workbook>
</file>

<file path=xl/calcChain.xml><?xml version="1.0" encoding="utf-8"?>
<calcChain xmlns="http://schemas.openxmlformats.org/spreadsheetml/2006/main">
  <c r="D91" i="30" l="1"/>
  <c r="D120" i="30" l="1"/>
  <c r="F17" i="25" l="1"/>
  <c r="F18" i="25"/>
  <c r="F19" i="25"/>
  <c r="F20" i="25"/>
  <c r="F21" i="25"/>
  <c r="F22" i="25"/>
  <c r="F23" i="25"/>
  <c r="F16" i="25"/>
  <c r="F5" i="25"/>
  <c r="F6" i="25"/>
  <c r="F7" i="25"/>
  <c r="F8" i="25"/>
  <c r="F9" i="25"/>
  <c r="F10" i="25"/>
  <c r="F11" i="25"/>
  <c r="F4" i="25"/>
  <c r="F12" i="25" s="1"/>
  <c r="E5" i="31"/>
  <c r="E6" i="31"/>
  <c r="E7" i="31"/>
  <c r="E8" i="31"/>
  <c r="E11" i="31" s="1"/>
  <c r="E9" i="31"/>
  <c r="E10" i="31"/>
  <c r="E4" i="31"/>
  <c r="D108" i="30" l="1"/>
  <c r="E12" i="31"/>
  <c r="F24" i="25"/>
  <c r="F13" i="25"/>
  <c r="F25" i="25" l="1"/>
  <c r="F28" i="25" s="1"/>
  <c r="F27" i="25"/>
  <c r="D107" i="30" s="1"/>
  <c r="D109" i="30" s="1"/>
  <c r="D46" i="30"/>
  <c r="D14" i="30" l="1"/>
  <c r="D40" i="30"/>
  <c r="D129" i="30"/>
  <c r="H11" i="28"/>
  <c r="D45" i="30" l="1"/>
  <c r="D51" i="30" s="1"/>
  <c r="D58" i="30" s="1"/>
  <c r="D21" i="30"/>
  <c r="D27" i="30" l="1"/>
  <c r="D125" i="30"/>
  <c r="D26" i="30"/>
  <c r="D28" i="30" l="1"/>
  <c r="D71" i="30" s="1"/>
  <c r="E39" i="30"/>
  <c r="E33" i="30" l="1"/>
  <c r="E35" i="30"/>
  <c r="E37" i="30"/>
  <c r="E34" i="30"/>
  <c r="D65" i="30"/>
  <c r="D69" i="30"/>
  <c r="D63" i="30"/>
  <c r="E36" i="30"/>
  <c r="D56" i="30"/>
  <c r="E32" i="30"/>
  <c r="E38" i="30"/>
  <c r="D64" i="30" l="1"/>
  <c r="D66" i="30" s="1"/>
  <c r="E40" i="30"/>
  <c r="D57" i="30" s="1"/>
  <c r="D59" i="30" s="1"/>
  <c r="D126" i="30" l="1"/>
  <c r="D67" i="30"/>
  <c r="D68" i="30" l="1"/>
  <c r="D70" i="30" s="1"/>
  <c r="D72" i="30" s="1"/>
  <c r="D9" i="30" s="1"/>
  <c r="D78" i="30" s="1"/>
  <c r="D127" i="30" l="1"/>
  <c r="D10" i="30"/>
  <c r="D96" i="30" s="1"/>
  <c r="D97" i="30" s="1"/>
  <c r="D102" i="30" s="1"/>
  <c r="D87" i="30" l="1"/>
  <c r="D82" i="30"/>
  <c r="D86" i="30"/>
  <c r="D89" i="30"/>
  <c r="D85" i="30"/>
  <c r="D81" i="30"/>
  <c r="D88" i="30"/>
  <c r="D84" i="30"/>
  <c r="D80" i="30"/>
  <c r="D83" i="30"/>
  <c r="D79" i="30"/>
  <c r="D92" i="30" s="1"/>
  <c r="D101" i="30" l="1"/>
  <c r="D103" i="30" s="1"/>
  <c r="D128" i="30" s="1"/>
  <c r="D130" i="30" s="1"/>
  <c r="E113" i="30" l="1"/>
  <c r="E114" i="30" l="1"/>
  <c r="E118" i="30" l="1"/>
  <c r="E116" i="30"/>
  <c r="E120" i="30" s="1"/>
  <c r="D131" i="30" s="1"/>
  <c r="D132" i="30" s="1"/>
  <c r="E4" i="28" l="1"/>
  <c r="H4" i="28" s="1"/>
  <c r="D133" i="30"/>
  <c r="H10" i="28" l="1"/>
  <c r="H12" i="28" s="1"/>
</calcChain>
</file>

<file path=xl/comments1.xml><?xml version="1.0" encoding="utf-8"?>
<comments xmlns="http://schemas.openxmlformats.org/spreadsheetml/2006/main">
  <authors>
    <author>David de Souza Dichirico Pestilli</author>
    <author/>
    <author>Luana</author>
    <author>fbrasil</author>
    <author>FBS</author>
    <author>Franklin Brasil Santos</author>
  </authors>
  <commentList>
    <comment ref="D9" authorId="0" shapeId="0">
      <text>
        <r>
          <rPr>
            <sz val="9"/>
            <color indexed="81"/>
            <rFont val="Tahoma"/>
            <family val="2"/>
          </rPr>
          <t xml:space="preserve">Base de Cálculo: (Módulo 01 + Módulo 02 + Módulo 03) / 30
Referência:  "Estudo sobre a Composição dos Custos dos Valores Limites Serviços de Vigilância" feitos pelo MINISTÉRIO DO PLANEJAMENTO, DESENVOLVIMENTO E GESTÃO, edição de 2018, pág 26
</t>
        </r>
      </text>
    </comment>
    <comment ref="D10" authorId="0" shapeId="0">
      <text>
        <r>
          <rPr>
            <sz val="9"/>
            <color indexed="81"/>
            <rFont val="Tahoma"/>
            <family val="2"/>
          </rPr>
          <t>Base de Cálculo: (Módulo 01 + Módulo 02 + Módulo 03) / 220
Referência:  "Estudo sobre a Composição dos Custos dos Valores Limites Serviços de Vigilância" feitos pelo MINISTÉRIO DO PLANEJAMENTO, DESENVOLVIMENTO E GESTÃO, edição de 2018, pág 27</t>
        </r>
      </text>
    </comment>
    <comment ref="D14" authorId="1" shapeId="0">
      <text>
        <r>
          <rPr>
            <sz val="10"/>
            <color indexed="8"/>
            <rFont val="Arial"/>
            <family val="2"/>
          </rPr>
          <t xml:space="preserve">CCT 2019. Cargo I - Vigilante
</t>
        </r>
      </text>
    </comment>
    <comment ref="D15" authorId="1" shapeId="0">
      <text>
        <r>
          <rPr>
            <sz val="10"/>
            <color indexed="8"/>
            <rFont val="Arial"/>
            <family val="2"/>
          </rPr>
          <t xml:space="preserve">CCT 2019 Clásula 15º </t>
        </r>
      </text>
    </comment>
    <comment ref="D16" authorId="1" shapeId="0">
      <text>
        <r>
          <rPr>
            <sz val="10"/>
            <rFont val="Arial"/>
            <family val="2"/>
          </rPr>
          <t xml:space="preserve">Não se aplica
</t>
        </r>
      </text>
    </comment>
    <comment ref="D17" authorId="2" shapeId="0">
      <text>
        <r>
          <rPr>
            <sz val="10"/>
            <color indexed="81"/>
            <rFont val="Arial"/>
            <family val="2"/>
          </rPr>
          <t>Não se aplica</t>
        </r>
      </text>
    </comment>
    <comment ref="D18" authorId="2" shapeId="0">
      <text>
        <r>
          <rPr>
            <sz val="10"/>
            <color indexed="81"/>
            <rFont val="Arial"/>
            <family val="2"/>
          </rPr>
          <t>Não se aplica</t>
        </r>
      </text>
    </comment>
    <comment ref="D19" authorId="3" shapeId="0">
      <text>
        <r>
          <rPr>
            <sz val="10"/>
            <color indexed="81"/>
            <rFont val="Tahoma"/>
            <family val="2"/>
          </rPr>
          <t>Não se aplica</t>
        </r>
      </text>
    </comment>
    <comment ref="D20" authorId="4" shapeId="0">
      <text>
        <r>
          <rPr>
            <sz val="9"/>
            <color indexed="81"/>
            <rFont val="Tahoma"/>
            <family val="2"/>
          </rPr>
          <t>Não se aplica</t>
        </r>
      </text>
    </comment>
    <comment ref="D26" authorId="2" shapeId="0">
      <text>
        <r>
          <rPr>
            <sz val="10"/>
            <color indexed="81"/>
            <rFont val="Arial"/>
            <family val="2"/>
          </rPr>
          <t>1/12 da remuneração
Cálculo: 1/12 = 8,33% * Remuneração</t>
        </r>
      </text>
    </comment>
    <comment ref="D27" authorId="2" shapeId="0">
      <text>
        <r>
          <rPr>
            <sz val="10"/>
            <color indexed="81"/>
            <rFont val="Arial"/>
            <family val="2"/>
          </rPr>
          <t>[1/12] de férias  + [(1/3) / 12] de adicional
Cálculo: 1/12 = 8,33% + (1/3/12 = 2,78%)  = 11,11% * Remuneração</t>
        </r>
      </text>
    </comment>
    <comment ref="E32" authorId="4" shapeId="0">
      <text>
        <r>
          <rPr>
            <sz val="10"/>
            <color indexed="81"/>
            <rFont val="Arial"/>
            <family val="2"/>
          </rPr>
          <t>Art. 22, Inciso I, da Lei nº 8.212/91.</t>
        </r>
        <r>
          <rPr>
            <sz val="9"/>
            <color indexed="81"/>
            <rFont val="Tahoma"/>
            <family val="2"/>
          </rPr>
          <t xml:space="preserve">
(incide sobre a Remuneração (Módulo 1 + 13º e Férias (Submódulo2.1) )</t>
        </r>
      </text>
    </comment>
    <comment ref="E33" authorId="4" shapeId="0">
      <text>
        <r>
          <rPr>
            <sz val="10"/>
            <color indexed="81"/>
            <rFont val="Arial"/>
            <family val="2"/>
          </rPr>
          <t>Art. 3º, Inciso I, Decreto n.º 87.043/82.
(incide sobre a Remuneração (Módulo 1 + 13º e Férias (Submódulo2.1) )</t>
        </r>
      </text>
    </comment>
    <comment ref="E34" authorId="5" shapeId="0">
      <text>
        <r>
          <rPr>
            <sz val="10"/>
            <color indexed="81"/>
            <rFont val="Arial"/>
            <family val="2"/>
          </rPr>
          <t xml:space="preserve">RAT x FAP. 
1) RAT = 3% (Limpeza em prédios e em domicílios - código 8121-4/00 do Anexo V do Decreto n.º 3.048/1999). 
2) FAP = Máximo de Fator de Acidente Previdenciário = 2:
3% x 2 = 6% (maior valor possível)
</t>
        </r>
        <r>
          <rPr>
            <b/>
            <sz val="10"/>
            <color indexed="81"/>
            <rFont val="Arial"/>
            <family val="2"/>
          </rPr>
          <t>A empresa deve utilizar o seu FAP efetivo, a ser comprovado no envio de sua proposta adequada ao lance vencedor, mediante apresentação da GFIP ou outro documento apto a fazê-lo.</t>
        </r>
      </text>
    </comment>
    <comment ref="E35" authorId="4" shapeId="0">
      <text>
        <r>
          <rPr>
            <sz val="10"/>
            <color indexed="81"/>
            <rFont val="Arial"/>
            <family val="2"/>
          </rPr>
          <t>Art. 3º, Lei n.º 8.036/90.
(incide sobre a Remuneração (Módulo 1 + 13º e Férias (Submódulo2.1) )</t>
        </r>
      </text>
    </comment>
    <comment ref="E36" authorId="4" shapeId="0">
      <text>
        <r>
          <rPr>
            <sz val="10"/>
            <color indexed="81"/>
            <rFont val="Arial"/>
            <family val="2"/>
          </rPr>
          <t>Decreto n.º 2.318/86
(incide sobre a Remuneração (Módulo 1 + 13º e Férias (Submódulo2.1) )</t>
        </r>
      </text>
    </comment>
    <comment ref="E37" authorId="4" shapeId="0">
      <text>
        <r>
          <rPr>
            <sz val="10"/>
            <color indexed="81"/>
            <rFont val="Arial"/>
            <family val="2"/>
          </rPr>
          <t>Art. 8º, Lei n.º 8.029/90 e Lei n.º 8.154/90.
(incide sobre a Remuneração (Módulo 1 + 13º e Férias (Submódulo2.1) )</t>
        </r>
      </text>
    </comment>
    <comment ref="E38" authorId="4" shapeId="0">
      <text>
        <r>
          <rPr>
            <sz val="10"/>
            <color indexed="81"/>
            <rFont val="Arial"/>
            <family val="2"/>
          </rPr>
          <t>Lei n.º 7.787/89 e DL n.º 1.146/70.
(incide sobre a Remuneração (Módulo 1 + 13º e Férias (Submódulo2.1) )</t>
        </r>
      </text>
    </comment>
    <comment ref="E39" authorId="4" shapeId="0">
      <text>
        <r>
          <rPr>
            <sz val="10"/>
            <color indexed="81"/>
            <rFont val="Arial"/>
            <family val="2"/>
          </rPr>
          <t>Art. 15, Lei nº 8.030/90 e Art. 7º, III, CF.
(incide sobre a Remuneração (Módulo 1 + 13º e Férias (Submódulo2.1) )</t>
        </r>
      </text>
    </comment>
    <comment ref="D45" authorId="1" shapeId="0">
      <text>
        <r>
          <rPr>
            <sz val="10"/>
            <color indexed="8"/>
            <rFont val="Arial"/>
            <family val="2"/>
          </rPr>
          <t>(R$ 4,30 (bilhete único) * 2/dia * Qtde dias trabalhados/mês) - (Salario Base * 6%)</t>
        </r>
      </text>
    </comment>
    <comment ref="D46" authorId="1" shapeId="0">
      <text>
        <r>
          <rPr>
            <sz val="10"/>
            <color indexed="8"/>
            <rFont val="Arial"/>
            <family val="2"/>
          </rPr>
          <t>CCT 2019 (17ª) = R$ 24,40/dia
Cálculo: (R$ por dia) * (Dias trabalhados no mês) - Total * 18%</t>
        </r>
      </text>
    </comment>
    <comment ref="C47" authorId="0" shapeId="0">
      <text>
        <r>
          <rPr>
            <b/>
            <sz val="9"/>
            <color indexed="81"/>
            <rFont val="Tahoma"/>
            <family val="2"/>
          </rPr>
          <t xml:space="preserve">CCT 2019 Cláusula 22º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</rPr>
          <t>CCT 2019 Cláusula 18º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 shapeId="0">
      <text>
        <r>
          <rPr>
            <b/>
            <sz val="9"/>
            <color indexed="81"/>
            <rFont val="Tahoma"/>
            <family val="2"/>
          </rPr>
          <t xml:space="preserve">CCT 2019
Cláusula 20º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</rPr>
          <t>CCT 2019 Cláusula 21º</t>
        </r>
      </text>
    </comment>
    <comment ref="C61" authorId="0" shapeId="0">
      <text>
        <r>
          <rPr>
            <sz val="9"/>
            <color indexed="81"/>
            <rFont val="Tahoma"/>
            <family val="2"/>
          </rPr>
          <t xml:space="preserve">Para este módulo foram adotados cálculos do "Estudo sobre a Composição dos Custos dos Valores Limites Serviços de Vigilância" feitos pelo MINISTÉRIO DO PLANEJAMENTO, DESENVOLVIMENTO E GESTÃO, edição de 2018, pág 18
</t>
        </r>
      </text>
    </comment>
    <comment ref="D63" authorId="0" shapeId="0">
      <text>
        <r>
          <rPr>
            <b/>
            <sz val="9"/>
            <color indexed="81"/>
            <rFont val="Tahoma"/>
            <family val="2"/>
          </rPr>
          <t>Base de cálculo: Módulo 1 + Módulo 2 (sem a incidência dos encargos previdenciários correspondentes ao GPS) / 12
Pág 19 do Caderno Técnico de Vigilância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 xml:space="preserve">Jurisprudência – Súmula nº 305 do TST
FUNDO DE GARANTIA DO TEMPO DE SERVIÇO. INCIDÊNCIA SOBRE O AVISO PRÉVIO
(mantida) – Res. 121/2003, DJ 19, 20 e 21/11/2003
O pagamento relativo ao período de aviso prévio, trabalhado ou não, está sujeito à contribuição para o FGTS.
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 xml:space="preserve">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 xml:space="preserve">Base de Cálculo: (A + B + C) x 66,83% (Percentual estimado pelo Caged para demissões sem justa cauda com aviso prévio indenizado)
</t>
        </r>
      </text>
    </comment>
    <comment ref="D67" authorId="0" shapeId="0">
      <text>
        <r>
          <rPr>
            <b/>
            <sz val="9"/>
            <color indexed="81"/>
            <rFont val="Tahoma"/>
            <family val="2"/>
          </rPr>
          <t>Base de cálculo: Módulo 1 + Módulo 2 (com a incidência dos encargos previdenciários correspondentes ao GPS) / 12
Pág 21 do Caderno Técnico de Vigilância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8" authorId="0" shapeId="0">
      <text>
        <r>
          <rPr>
            <sz val="9"/>
            <color indexed="81"/>
            <rFont val="Tahoma"/>
            <family val="2"/>
          </rPr>
          <t xml:space="preserve">Para o cálculo desse campo, aplica-se o percentual (%) do submódulo 2.2 sobre o valor
encontrado para o aviso prévio trabalhado. 
Caderno de Logística, pág 104
</t>
        </r>
      </text>
    </comment>
    <comment ref="D70" authorId="0" shapeId="0">
      <text>
        <r>
          <rPr>
            <sz val="9"/>
            <color indexed="81"/>
            <rFont val="Tahoma"/>
            <family val="2"/>
          </rPr>
          <t>Base de Cálculo: (D + E + F) x 7,43% (Percentual estimado pelo Caged para demissões sem justa cauda com aviso prévio trabalhado)
Caderno Técnico, pág 19</t>
        </r>
      </text>
    </comment>
    <comment ref="D71" authorId="0" shapeId="0">
      <text>
        <r>
          <rPr>
            <sz val="9"/>
            <color indexed="81"/>
            <rFont val="Tahoma"/>
            <family val="2"/>
          </rPr>
          <t xml:space="preserve">Base de Cálculo: (Valor mensal provisionado do 13º Salário + Valor mensal provisionado das Férias + Valor mensal provisionado do Adicional de Férias) x 8.66%  (Percentual do Caged relativo às demissões por justa causa).
Caderno Técnico, pág 22
</t>
        </r>
      </text>
    </comment>
    <comment ref="C75" authorId="0" shapeId="0">
      <text>
        <r>
          <rPr>
            <sz val="9"/>
            <color indexed="81"/>
            <rFont val="Tahoma"/>
            <family val="2"/>
          </rPr>
          <t xml:space="preserve">Para este módulo foram adotados cálculos do "Estudo sobre a Composição dos Custos dos Valores Limites Serviços de Vigilância" feitos pelo MINISTÉRIO DO PLANEJAMENTO, DESENVOLVIMENTO E GESTÃO, edição de 2018, pág 23
</t>
        </r>
      </text>
    </comment>
    <comment ref="D96" authorId="0" shapeId="0">
      <text>
        <r>
          <rPr>
            <sz val="9"/>
            <color indexed="81"/>
            <rFont val="Tahoma"/>
            <family val="2"/>
          </rPr>
          <t xml:space="preserve">Base de Cálculo: Horas de intervalo diárias durante o mês x Valor da hora de trabalho
</t>
        </r>
      </text>
    </comment>
    <comment ref="C105" authorId="0" shapeId="0">
      <text>
        <r>
          <rPr>
            <b/>
            <sz val="9"/>
            <color indexed="81"/>
            <rFont val="Tahoma"/>
            <family val="2"/>
          </rPr>
          <t>Para este módulo foram adotados os valores de referência do CadTerc 2018</t>
        </r>
      </text>
    </comment>
    <comment ref="D107" authorId="3" shapeId="0">
      <text>
        <r>
          <rPr>
            <sz val="10"/>
            <color indexed="81"/>
            <rFont val="Arial"/>
            <family val="2"/>
          </rPr>
          <t>Referência: Custo Mensal de Uniformes (vide planilha específica)</t>
        </r>
      </text>
    </comment>
    <comment ref="D108" authorId="0" shapeId="0">
      <text>
        <r>
          <rPr>
            <sz val="9"/>
            <color indexed="81"/>
            <rFont val="Tahoma"/>
            <family val="2"/>
          </rPr>
          <t xml:space="preserve">Custo mensal de equipamentos, vide planilha específica.
</t>
        </r>
      </text>
    </comment>
    <comment ref="C111" authorId="0" shapeId="0">
      <text>
        <r>
          <rPr>
            <b/>
            <sz val="9"/>
            <color indexed="81"/>
            <rFont val="Tahoma"/>
            <family val="2"/>
          </rPr>
          <t>Cáculo conforme item 5.5.7.4 do Caderno de Logística 2018</t>
        </r>
      </text>
    </comment>
    <comment ref="E113" authorId="0" shapeId="0">
      <text>
        <r>
          <rPr>
            <b/>
            <sz val="9"/>
            <color indexed="81"/>
            <rFont val="Tahoma"/>
            <family val="2"/>
          </rPr>
          <t>Cálculo: Módulos 01 a 05 x 6%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14" authorId="0" shapeId="0">
      <text>
        <r>
          <rPr>
            <b/>
            <sz val="9"/>
            <color indexed="81"/>
            <rFont val="Tahoma"/>
            <family val="2"/>
          </rPr>
          <t>(Módulos 1 a 5 + Custos indiretos) x 6,79%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15" authorId="0" shapeId="0">
      <text>
        <r>
          <rPr>
            <b/>
            <sz val="9"/>
            <color indexed="81"/>
            <rFont val="Tahoma"/>
            <family val="2"/>
          </rPr>
          <t>Cálculo = (Módulos 1 a 5 + Custos indiretos + Lucro) x Respectivo percentual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33" authorId="0" shapeId="0">
      <text>
        <r>
          <rPr>
            <b/>
            <sz val="9"/>
            <color indexed="81"/>
            <rFont val="Tahoma"/>
            <family val="2"/>
          </rPr>
          <t>Relação entre o valor da remuneração do empregado e o valor total pago por ele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<sst xmlns="http://schemas.openxmlformats.org/spreadsheetml/2006/main" count="304" uniqueCount="213">
  <si>
    <t>PLANILHA DE CUSTOS E FORMAÇÃO DE PREÇOS</t>
  </si>
  <si>
    <t xml:space="preserve">Processo nº: </t>
  </si>
  <si>
    <t xml:space="preserve">Licitação nº: </t>
  </si>
  <si>
    <t>DISCRIMINAÇÃO DOS SERVIÇOS (DADOS REFERENTES À CONTRATAÇÃO)</t>
  </si>
  <si>
    <t>A</t>
  </si>
  <si>
    <t>Data de apresentação da proposta (dia/mês/ano)</t>
  </si>
  <si>
    <t>B</t>
  </si>
  <si>
    <t>Município/ UF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</si>
  <si>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</si>
  <si>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</si>
  <si>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</si>
  <si>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</si>
  <si>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</si>
  <si>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</si>
  <si>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</si>
  <si>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A CONTRATAR</t>
  </si>
  <si>
    <t>MÃO-DE-OBRA VINCULADA À EXECUÇÃO CONTRATUAL</t>
  </si>
  <si>
    <t>Dados para composição dos custos referentes a mão de obra</t>
  </si>
  <si>
    <t>Tipo de serviço</t>
  </si>
  <si>
    <t>Dias trabalhados por mês</t>
  </si>
  <si>
    <t>Classificação Brasileira de Ocupações (CBO)</t>
  </si>
  <si>
    <t>Salário Normativo da Categoria Profissional</t>
  </si>
  <si>
    <t xml:space="preserve">Categoria profissional </t>
  </si>
  <si>
    <t>Data base da categoria</t>
  </si>
  <si>
    <t>MÓDULO 1 : COMPOSIÇÃO DA REMUNERAÇÃO</t>
  </si>
  <si>
    <t>Composição da Remuneração</t>
  </si>
  <si>
    <t>Valor(R$)</t>
  </si>
  <si>
    <t>Salário Base</t>
  </si>
  <si>
    <t>Adicional de Periculosidade</t>
  </si>
  <si>
    <t>Adicional de Insalubridade</t>
  </si>
  <si>
    <t>Adicional Noturno</t>
  </si>
  <si>
    <t>E</t>
  </si>
  <si>
    <t>Hora Noturna Reduzida</t>
  </si>
  <si>
    <t>F</t>
  </si>
  <si>
    <t>Hora Extra</t>
  </si>
  <si>
    <t>G</t>
  </si>
  <si>
    <t>Outros</t>
  </si>
  <si>
    <t>Total de Remuneração</t>
  </si>
  <si>
    <t>MÓDULO 2: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</si>
  <si>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</si>
  <si>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</si>
  <si>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</si>
  <si>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Valor (R$)</t>
  </si>
  <si>
    <t>13º (décimo terceiro) Salário</t>
  </si>
  <si>
    <t>Férias e Adicional de Férias</t>
  </si>
  <si>
    <t>Total</t>
  </si>
  <si>
    <t>Submódulo 2.2 - Encargos Previdenciários (GPS), Fundo de Garantia por Tempo de Serviço (FGTS) e outras contribuições</t>
  </si>
  <si>
    <t>2.2</t>
  </si>
  <si>
    <t>GPS, FGTS e outras contribuições</t>
  </si>
  <si>
    <t>%</t>
  </si>
  <si>
    <t>INSS</t>
  </si>
  <si>
    <t>Salário Educação</t>
  </si>
  <si>
    <t>Seguro acidente do trabalho</t>
  </si>
  <si>
    <t>SESI ou SESC</t>
  </si>
  <si>
    <t>SENAI ou SENAC</t>
  </si>
  <si>
    <t>SEBRAE</t>
  </si>
  <si>
    <t>INCRA</t>
  </si>
  <si>
    <t>H</t>
  </si>
  <si>
    <t>FGTS</t>
  </si>
  <si>
    <t>TOTAL</t>
  </si>
  <si>
    <t>Itens não aplicáveis a Optantes do SIMPLES</t>
  </si>
  <si>
    <t>Submódulo 2.3 - Benefícios Mensais e Diários</t>
  </si>
  <si>
    <t>2.3</t>
  </si>
  <si>
    <t>Benefícios Mensais e Diários</t>
  </si>
  <si>
    <t>Transporte</t>
  </si>
  <si>
    <t>Auxílio Alimentação</t>
  </si>
  <si>
    <t>Intrajornada</t>
  </si>
  <si>
    <t>Total de 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</si>
  <si>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</si>
  <si>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</si>
  <si>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</si>
  <si>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</si>
  <si>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</si>
  <si>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</si>
  <si>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do aviso prévio indenizado</t>
  </si>
  <si>
    <t>Aviso prévio trabalhado</t>
  </si>
  <si>
    <t>Incidência do submódulo 2.2 sobre o Aviso Prévio Trabalhado</t>
  </si>
  <si>
    <t>Multa do FGTS do aviso prévio trabalhado</t>
  </si>
  <si>
    <t>Módulo 4 - Custo de Reposição do Profissional Ausente</t>
  </si>
  <si>
    <t>Submódulo 4.1 - Ausências Legais</t>
  </si>
  <si>
    <t>4.1</t>
  </si>
  <si>
    <t>Ausências legais</t>
  </si>
  <si>
    <t>Férias</t>
  </si>
  <si>
    <t>Licença paternidade</t>
  </si>
  <si>
    <t>Ausência por Acidente de trabalho</t>
  </si>
  <si>
    <t>Afastamento maternidade</t>
  </si>
  <si>
    <t>Ausência por doença</t>
  </si>
  <si>
    <t>Incidência do submódulo 2.2 sobre o Custo de reposição</t>
  </si>
  <si>
    <t>Submódulo 4.2 - Intrajornada</t>
  </si>
  <si>
    <t>4.2</t>
  </si>
  <si>
    <t>Intervalo para repouso ou alimentação</t>
  </si>
  <si>
    <t>Quadro-Resumo do Módulo 4 - Custo de Reposição do Profissional Ausente</t>
  </si>
  <si>
    <t>Custo de reposição</t>
  </si>
  <si>
    <t>MÓDULO 5: INSUMOS DIVERSOS</t>
  </si>
  <si>
    <t>Insumos Diversos</t>
  </si>
  <si>
    <t>Uniformes</t>
  </si>
  <si>
    <t>Equipamentos</t>
  </si>
  <si>
    <t>Total de Insumos Diversos</t>
  </si>
  <si>
    <t>MÓDULO 6: CUSTOS INDIRETOS, TRIBUTOS E LUCRO</t>
  </si>
  <si>
    <t>Custos Indiretos, Tributos e Lucro</t>
  </si>
  <si>
    <t>Custos Indiretos</t>
  </si>
  <si>
    <t>Lucro</t>
  </si>
  <si>
    <t>Tributos</t>
  </si>
  <si>
    <t>C.2) Tributos Estaduais (especificar)</t>
  </si>
  <si>
    <t>C.3) Tributos Municipais (ISS = 5,0%)</t>
  </si>
  <si>
    <t>C.4) Outros tributos (especificar)</t>
  </si>
  <si>
    <t>Quadro-resumo do Custo por Empregado</t>
  </si>
  <si>
    <t>Mão-de-obra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</si>
  <si>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</si>
  <si>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</si>
  <si>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</si>
  <si>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5 - Insumos Diversos</t>
  </si>
  <si>
    <t>Subtotal (A + B +C+ D+E)</t>
  </si>
  <si>
    <t>Módulo 6 – Custos Indiretos, Tributos e Lucro</t>
  </si>
  <si>
    <t>Valor total por empregado</t>
  </si>
  <si>
    <t>FATOR K</t>
  </si>
  <si>
    <t>MASCULINO</t>
  </si>
  <si>
    <t>Item</t>
  </si>
  <si>
    <t>Especificações</t>
  </si>
  <si>
    <t>Camisa</t>
  </si>
  <si>
    <t>Estilo social, em tecido 50% algodão e 50% poliester, cor branca, de mangas compridas, gola com entretela, abotoamento frontal, com botões nos punhos, contendo o emblema da Contratada bordado no lado superior esquerdo.</t>
  </si>
  <si>
    <t>Comprida social, com zíper,  presilha para cinto, cor preta.</t>
  </si>
  <si>
    <t>Gravata</t>
  </si>
  <si>
    <t>Em tecido 100% poliéster ou 100% seda, de boa qualidade.</t>
  </si>
  <si>
    <t>Par de meias</t>
  </si>
  <si>
    <t>Meia social, em tecido 60% algodão, 39% poliamida e 1% elastano, na cor preta.</t>
  </si>
  <si>
    <t>Par de sapatos</t>
  </si>
  <si>
    <t>Tipo esporte fino, com cadarço, de couro, solado de borracha, cor preta, de boa qualidade.</t>
  </si>
  <si>
    <t xml:space="preserve">Total Anual </t>
  </si>
  <si>
    <t>Total Mensal</t>
  </si>
  <si>
    <t>FEMININO</t>
  </si>
  <si>
    <t>Na cor branca, de mangas curtas, gola com entretela, abotoamento frontal, em tecido 50% algodão e 50% poliester, contendo o emblema da Contratada bordado no lado superior esquerdo.</t>
  </si>
  <si>
    <t>Tipo esporte fino, ambos com zíper na parte de trás, na cor preta, na altura do joelho.</t>
  </si>
  <si>
    <t>Tipo esporte fino, com zíper, na cor preta.</t>
  </si>
  <si>
    <t>Lenço</t>
  </si>
  <si>
    <t>Lenço para o pescoço, em crepe, contendo o nome da empresa, de boa qualidade.</t>
  </si>
  <si>
    <t>Laço para cabelo</t>
  </si>
  <si>
    <t>Prendedor de cabelos, com laço de rede, na cor preta.</t>
  </si>
  <si>
    <t>Na cor preta, de boa qualidade, salto médio, de couro, na cor preta, tipo scarpin ou estilo boneca.</t>
  </si>
  <si>
    <t>Cinto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</si>
  <si>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</si>
  <si>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</si>
  <si>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</si>
  <si>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</si>
  <si>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</si>
  <si>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</si>
  <si>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QUADRO DEMONSTRATIVO DO VALOR GLOBAL DA PROPOSTA</t>
  </si>
  <si>
    <t>VALOR GLOBAL DA PROPOSTA</t>
  </si>
  <si>
    <t xml:space="preserve">DESCRIÇÃO </t>
  </si>
  <si>
    <t>VALOR</t>
  </si>
  <si>
    <t>Valor mensal do serviço</t>
  </si>
  <si>
    <t>Número de meses de execução contratual</t>
  </si>
  <si>
    <t>Valor global da proposta (Valor Mensal x Meses de Execução)</t>
  </si>
  <si>
    <t>São Paulo/SP</t>
  </si>
  <si>
    <t>Vigilância</t>
  </si>
  <si>
    <t>CCT SEEVISP</t>
  </si>
  <si>
    <t>Vigilante</t>
  </si>
  <si>
    <t>Auxílio Funeral</t>
  </si>
  <si>
    <t>Cesta Básica</t>
  </si>
  <si>
    <t>Seguro de vida</t>
  </si>
  <si>
    <t>Assistência Médica e familiar</t>
  </si>
  <si>
    <t>Posto 12x36 (seg-sab)</t>
  </si>
  <si>
    <t>Vigilância 12X36 (seg-sab)</t>
  </si>
  <si>
    <t>Salário-hora referência</t>
  </si>
  <si>
    <t>Custo do Aviso Prévio Trabalhado</t>
  </si>
  <si>
    <t>Custo do Aviso Prévio Indenizado</t>
  </si>
  <si>
    <t>Custo da Demissão por Justa Causa</t>
  </si>
  <si>
    <t>Custo Diário Para o Repositor</t>
  </si>
  <si>
    <t>Consulta Médica Filho</t>
  </si>
  <si>
    <t>Óbitos na Família</t>
  </si>
  <si>
    <t>Casamento</t>
  </si>
  <si>
    <t>Doação de Sangue</t>
  </si>
  <si>
    <t>Testemunho</t>
  </si>
  <si>
    <t>Consulta Pré Natal</t>
  </si>
  <si>
    <t>I</t>
  </si>
  <si>
    <t>J</t>
  </si>
  <si>
    <t>L</t>
  </si>
  <si>
    <t>M</t>
  </si>
  <si>
    <t>N</t>
  </si>
  <si>
    <t>O</t>
  </si>
  <si>
    <t>Terno</t>
  </si>
  <si>
    <t>Cinto em couro preto com fivela</t>
  </si>
  <si>
    <t>UNIFORMES P/ POSTO DE VIGILANTE (12x36)</t>
  </si>
  <si>
    <t>Custo Mensal</t>
  </si>
  <si>
    <t>Quantidade para 12 meses</t>
  </si>
  <si>
    <t>Total Anual</t>
  </si>
  <si>
    <t>Camisa Social</t>
  </si>
  <si>
    <t>Média Mensal</t>
  </si>
  <si>
    <t xml:space="preserve">Média Anual </t>
  </si>
  <si>
    <t>Valor Total do Serviço                (F) = (D x E)</t>
  </si>
  <si>
    <t>Cracha</t>
  </si>
  <si>
    <t>Crachá em PVC com foto e nome do funcionário, e cordão.</t>
  </si>
  <si>
    <t xml:space="preserve">Valor Unit (R$) </t>
  </si>
  <si>
    <t>Capa de Chuva</t>
  </si>
  <si>
    <t>Em PVC, forrada.</t>
  </si>
  <si>
    <t>EQUIPAMENTOS P/ POSTO DE VIGILANTE (12x36)</t>
  </si>
  <si>
    <t>Livro de ocorrência</t>
  </si>
  <si>
    <t>Apito</t>
  </si>
  <si>
    <t>Córdão de Apito</t>
  </si>
  <si>
    <t>Vida Útil (meses)</t>
  </si>
  <si>
    <t>Rádio</t>
  </si>
  <si>
    <t>Lanterna Recarregável acima de 12 leds</t>
  </si>
  <si>
    <t>Cassetete</t>
  </si>
  <si>
    <t>Porta Cassetete</t>
  </si>
  <si>
    <t>Estudo sobre a Composição dos Custos dos Valores Limites para Serviço de Vigilância - São Paulo 2018 - MPDG</t>
  </si>
  <si>
    <t>CadTerc Vigilância Setembro 2018</t>
  </si>
  <si>
    <t>Caderno de Logística Vigilância 2014 - Compras Governamentais</t>
  </si>
  <si>
    <t>Estudo sobre a composição dos custos dos valores limites para serviços de vigilância - São Paulo 2017 - MPDG</t>
  </si>
  <si>
    <t>C.1) Tributos Federais (PIS = 1,65% e COFINS = 3%)</t>
  </si>
  <si>
    <t>Cadernos Técnicos Utilizados Para Aferição do Valor</t>
  </si>
  <si>
    <t>Ausência justificada</t>
  </si>
  <si>
    <t>Itens previstos na CCT mas que não tiveram valor estipulado</t>
  </si>
  <si>
    <t>controlador de acesso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</si>
</sst>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_-&quot;R$ &quot;* #,##0.00_-;&quot;-R$ &quot;* #,##0.00_-;_-&quot;R$ &quot;* \-??_-;_-@_-"/>
    <numFmt numFmtId="168" formatCode="_-* #,##0_-;\-* #,##0_-;_-* \-??_-;_-@_-"/>
  </numFmts>
  <fonts count="4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sz val="10"/>
      <color indexed="81"/>
      <name val="Arial"/>
      <family val="2"/>
    </font>
    <font>
      <sz val="9"/>
      <color indexed="81"/>
      <name val="Tahoma"/>
      <family val="2"/>
    </font>
    <font>
      <sz val="10"/>
      <color indexed="20"/>
      <name val="Arial"/>
      <family val="2"/>
    </font>
    <font>
      <b/>
      <sz val="10"/>
      <color indexed="81"/>
      <name val="Arial"/>
      <family val="2"/>
    </font>
    <font>
      <sz val="11"/>
      <color theme="1"/>
      <name val="Calibri"/>
      <family val="2"/>
      <scheme val="minor"/>
    </font>
    <font>
      <b/>
      <sz val="15"/>
      <color rgb="FF003366"/>
      <name val="Calibri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3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i/>
      <u/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00B050"/>
      <name val="Arial"/>
      <family val="2"/>
    </font>
    <font>
      <b/>
      <sz val="9"/>
      <color indexed="81"/>
      <name val="Tahoma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indexed="26"/>
      </patternFill>
    </fill>
    <fill>
      <patternFill patternType="solid">
        <fgColor rgb="FFD0CECE"/>
        <bgColor indexed="64"/>
      </patternFill>
    </fill>
    <fill>
      <patternFill patternType="solid">
        <fgColor theme="0" tint="-0.249977111117893"/>
        <bgColor indexed="64"/>
      </patternFill>
    </fill>
  </fills>
  <borders count="1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33339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6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21" fillId="23" borderId="4" applyNumberFormat="0" applyAlignment="0" applyProtection="0"/>
    <xf numFmtId="9" fontId="2" fillId="0" borderId="0" applyFill="0" applyBorder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166" fontId="21" fillId="0" borderId="0" applyFill="0" applyBorder="0" applyAlignment="0" applyProtection="0"/>
    <xf numFmtId="0" fontId="28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9" fillId="0" borderId="43" applyAlignment="0" applyProtection="0"/>
    <xf numFmtId="44" fontId="2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86">
    <xf numFmtId="0" fontId="0" fillId="0" borderId="0" xfId="0"/>
    <xf numFmtId="0" fontId="20" fillId="0" borderId="12" xfId="0" applyFont="1" applyBorder="1" applyAlignment="1" applyProtection="1">
      <alignment vertical="center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26" fillId="24" borderId="0" xfId="0" applyFont="1" applyFill="1" applyAlignment="1">
      <alignment vertical="center"/>
    </xf>
    <xf numFmtId="0" fontId="20" fillId="24" borderId="18" xfId="0" applyFont="1" applyFill="1" applyBorder="1" applyAlignment="1">
      <alignment horizontal="center" vertical="center"/>
    </xf>
    <xf numFmtId="0" fontId="0" fillId="24" borderId="41" xfId="0" applyFill="1" applyBorder="1" applyAlignment="1">
      <alignment vertical="center"/>
    </xf>
    <xf numFmtId="0" fontId="20" fillId="24" borderId="0" xfId="0" applyFont="1" applyFill="1" applyAlignment="1">
      <alignment horizontal="center" vertical="center"/>
    </xf>
    <xf numFmtId="0" fontId="20" fillId="24" borderId="40" xfId="0" applyFont="1" applyFill="1" applyBorder="1" applyAlignment="1">
      <alignment horizontal="center" vertical="center"/>
    </xf>
    <xf numFmtId="0" fontId="2" fillId="27" borderId="0" xfId="0" applyFont="1" applyFill="1"/>
    <xf numFmtId="0" fontId="0" fillId="24" borderId="0" xfId="0" applyFill="1" applyAlignment="1">
      <alignment vertical="center"/>
    </xf>
    <xf numFmtId="0" fontId="0" fillId="24" borderId="0" xfId="0" applyFill="1" applyAlignment="1">
      <alignment horizontal="center" vertical="center"/>
    </xf>
    <xf numFmtId="0" fontId="31" fillId="27" borderId="0" xfId="0" applyFont="1" applyFill="1" applyAlignment="1">
      <alignment horizontal="center" vertical="center"/>
    </xf>
    <xf numFmtId="0" fontId="0" fillId="27" borderId="40" xfId="0" applyFill="1" applyBorder="1" applyAlignment="1">
      <alignment horizontal="left" vertical="center"/>
    </xf>
    <xf numFmtId="0" fontId="0" fillId="27" borderId="0" xfId="0" applyFill="1" applyAlignment="1">
      <alignment vertical="center"/>
    </xf>
    <xf numFmtId="0" fontId="20" fillId="24" borderId="0" xfId="0" applyFont="1" applyFill="1" applyAlignment="1">
      <alignment horizontal="left" vertical="center" wrapText="1"/>
    </xf>
    <xf numFmtId="0" fontId="0" fillId="24" borderId="10" xfId="0" applyFill="1" applyBorder="1" applyAlignment="1">
      <alignment vertical="center"/>
    </xf>
    <xf numFmtId="0" fontId="0" fillId="24" borderId="11" xfId="0" applyFill="1" applyBorder="1" applyAlignment="1">
      <alignment vertical="center"/>
    </xf>
    <xf numFmtId="0" fontId="0" fillId="24" borderId="46" xfId="0" applyFill="1" applyBorder="1" applyAlignment="1">
      <alignment vertical="center"/>
    </xf>
    <xf numFmtId="0" fontId="20" fillId="24" borderId="47" xfId="0" applyFont="1" applyFill="1" applyBorder="1" applyAlignment="1">
      <alignment horizontal="center" vertical="center"/>
    </xf>
    <xf numFmtId="0" fontId="0" fillId="24" borderId="47" xfId="0" applyFill="1" applyBorder="1" applyAlignment="1">
      <alignment horizontal="center" vertical="center"/>
    </xf>
    <xf numFmtId="0" fontId="0" fillId="24" borderId="48" xfId="0" applyFill="1" applyBorder="1" applyAlignment="1">
      <alignment vertical="center"/>
    </xf>
    <xf numFmtId="0" fontId="20" fillId="24" borderId="0" xfId="0" applyFont="1" applyFill="1" applyAlignment="1">
      <alignment vertical="center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24" borderId="14" xfId="0" applyFill="1" applyBorder="1" applyAlignment="1">
      <alignment horizontal="center" vertical="center"/>
    </xf>
    <xf numFmtId="9" fontId="0" fillId="24" borderId="0" xfId="33" applyFont="1" applyFill="1" applyAlignment="1">
      <alignment horizontal="center" vertical="center"/>
    </xf>
    <xf numFmtId="39" fontId="0" fillId="24" borderId="0" xfId="0" applyNumberFormat="1" applyFill="1" applyAlignment="1">
      <alignment vertical="center"/>
    </xf>
    <xf numFmtId="39" fontId="0" fillId="24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0" fontId="0" fillId="24" borderId="49" xfId="0" applyFill="1" applyBorder="1" applyAlignment="1">
      <alignment vertical="center"/>
    </xf>
    <xf numFmtId="0" fontId="0" fillId="24" borderId="13" xfId="0" applyFill="1" applyBorder="1" applyAlignment="1">
      <alignment vertical="center"/>
    </xf>
    <xf numFmtId="0" fontId="0" fillId="24" borderId="51" xfId="0" applyFill="1" applyBorder="1" applyAlignment="1">
      <alignment horizontal="center" vertical="center"/>
    </xf>
    <xf numFmtId="0" fontId="0" fillId="24" borderId="11" xfId="0" applyFill="1" applyBorder="1" applyAlignment="1">
      <alignment horizontal="center" vertical="center"/>
    </xf>
    <xf numFmtId="0" fontId="0" fillId="24" borderId="57" xfId="0" applyFill="1" applyBorder="1" applyAlignment="1">
      <alignment vertical="center"/>
    </xf>
    <xf numFmtId="0" fontId="20" fillId="24" borderId="50" xfId="0" applyFont="1" applyFill="1" applyBorder="1" applyAlignment="1">
      <alignment horizontal="center" vertical="center"/>
    </xf>
    <xf numFmtId="0" fontId="0" fillId="24" borderId="50" xfId="0" applyFill="1" applyBorder="1" applyAlignment="1">
      <alignment horizontal="center" vertical="center"/>
    </xf>
    <xf numFmtId="0" fontId="0" fillId="24" borderId="51" xfId="0" applyFill="1" applyBorder="1" applyAlignment="1">
      <alignment vertical="center"/>
    </xf>
    <xf numFmtId="0" fontId="0" fillId="24" borderId="44" xfId="0" applyFill="1" applyBorder="1" applyAlignment="1">
      <alignment horizontal="center" vertical="center"/>
    </xf>
    <xf numFmtId="0" fontId="0" fillId="24" borderId="59" xfId="0" applyFill="1" applyBorder="1" applyAlignment="1">
      <alignment horizontal="center" vertical="center"/>
    </xf>
    <xf numFmtId="0" fontId="20" fillId="0" borderId="61" xfId="0" applyFont="1" applyBorder="1" applyAlignment="1">
      <alignment vertical="center"/>
    </xf>
    <xf numFmtId="0" fontId="20" fillId="0" borderId="16" xfId="0" applyFont="1" applyBorder="1" applyAlignment="1">
      <alignment horizontal="justify" vertical="center" wrapText="1"/>
    </xf>
    <xf numFmtId="0" fontId="20" fillId="0" borderId="15" xfId="0" applyFont="1" applyBorder="1" applyAlignment="1">
      <alignment horizontal="center" vertical="center" wrapText="1"/>
    </xf>
    <xf numFmtId="0" fontId="0" fillId="0" borderId="10" xfId="0" applyBorder="1" applyAlignment="1">
      <alignment horizontal="justify" vertical="center" wrapText="1"/>
    </xf>
    <xf numFmtId="0" fontId="26" fillId="0" borderId="11" xfId="0" applyFont="1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20" fillId="0" borderId="12" xfId="0" applyFont="1" applyBorder="1" applyAlignment="1">
      <alignment horizontal="justify" vertical="center" wrapText="1"/>
    </xf>
    <xf numFmtId="0" fontId="20" fillId="0" borderId="0" xfId="0" applyFont="1" applyAlignment="1" applyProtection="1">
      <alignment vertical="center"/>
      <protection locked="0"/>
    </xf>
    <xf numFmtId="39" fontId="20" fillId="0" borderId="0" xfId="0" applyNumberFormat="1" applyFont="1" applyAlignment="1">
      <alignment horizontal="center" vertical="center"/>
    </xf>
    <xf numFmtId="0" fontId="0" fillId="24" borderId="12" xfId="0" applyFill="1" applyBorder="1" applyAlignment="1">
      <alignment horizontal="center" vertical="center"/>
    </xf>
    <xf numFmtId="0" fontId="0" fillId="0" borderId="18" xfId="0" applyBorder="1" applyAlignment="1" applyProtection="1">
      <alignment vertical="center"/>
      <protection locked="0"/>
    </xf>
    <xf numFmtId="0" fontId="0" fillId="24" borderId="41" xfId="0" applyFill="1" applyBorder="1" applyAlignment="1">
      <alignment horizontal="center" vertical="center"/>
    </xf>
    <xf numFmtId="0" fontId="0" fillId="0" borderId="60" xfId="0" applyBorder="1" applyAlignment="1" applyProtection="1">
      <alignment vertical="center"/>
      <protection locked="0"/>
    </xf>
    <xf numFmtId="0" fontId="20" fillId="0" borderId="66" xfId="0" applyFont="1" applyBorder="1" applyAlignment="1" applyProtection="1">
      <alignment vertical="center"/>
      <protection locked="0"/>
    </xf>
    <xf numFmtId="0" fontId="20" fillId="0" borderId="35" xfId="0" applyFont="1" applyBorder="1" applyAlignment="1" applyProtection="1">
      <alignment horizontal="center" vertical="center"/>
      <protection locked="0"/>
    </xf>
    <xf numFmtId="0" fontId="0" fillId="24" borderId="40" xfId="0" applyFill="1" applyBorder="1" applyAlignment="1">
      <alignment vertical="center"/>
    </xf>
    <xf numFmtId="0" fontId="20" fillId="0" borderId="0" xfId="0" applyFont="1" applyAlignment="1">
      <alignment horizontal="justify" vertical="center" wrapText="1"/>
    </xf>
    <xf numFmtId="2" fontId="20" fillId="24" borderId="0" xfId="0" applyNumberFormat="1" applyFont="1" applyFill="1" applyAlignment="1">
      <alignment horizontal="center" vertical="center"/>
    </xf>
    <xf numFmtId="0" fontId="20" fillId="0" borderId="28" xfId="0" applyFont="1" applyBorder="1" applyAlignment="1">
      <alignment horizontal="justify" vertical="center" wrapText="1"/>
    </xf>
    <xf numFmtId="0" fontId="20" fillId="0" borderId="55" xfId="0" applyFont="1" applyBorder="1" applyAlignment="1">
      <alignment horizontal="justify" vertical="center" wrapText="1"/>
    </xf>
    <xf numFmtId="0" fontId="0" fillId="0" borderId="60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24" borderId="47" xfId="0" applyFill="1" applyBorder="1" applyAlignment="1">
      <alignment vertical="center"/>
    </xf>
    <xf numFmtId="0" fontId="0" fillId="24" borderId="68" xfId="0" applyFill="1" applyBorder="1" applyAlignment="1">
      <alignment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24" borderId="42" xfId="0" applyFill="1" applyBorder="1" applyAlignment="1">
      <alignment vertical="center"/>
    </xf>
    <xf numFmtId="0" fontId="20" fillId="0" borderId="72" xfId="0" applyFont="1" applyBorder="1" applyAlignment="1">
      <alignment horizontal="justify" vertical="center" wrapText="1"/>
    </xf>
    <xf numFmtId="0" fontId="0" fillId="24" borderId="42" xfId="0" applyFill="1" applyBorder="1" applyAlignment="1">
      <alignment horizontal="center" vertical="center"/>
    </xf>
    <xf numFmtId="0" fontId="20" fillId="24" borderId="68" xfId="0" applyFont="1" applyFill="1" applyBorder="1" applyAlignment="1">
      <alignment horizontal="center" vertical="center"/>
    </xf>
    <xf numFmtId="0" fontId="0" fillId="24" borderId="58" xfId="0" applyFill="1" applyBorder="1" applyAlignment="1">
      <alignment horizontal="center" vertical="center"/>
    </xf>
    <xf numFmtId="0" fontId="20" fillId="24" borderId="58" xfId="0" applyFont="1" applyFill="1" applyBorder="1" applyAlignment="1">
      <alignment horizontal="center" vertical="center"/>
    </xf>
    <xf numFmtId="0" fontId="20" fillId="0" borderId="55" xfId="0" applyFont="1" applyBorder="1" applyAlignment="1" applyProtection="1">
      <alignment horizontal="left" vertical="center"/>
      <protection locked="0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0" fillId="0" borderId="75" xfId="0" applyFont="1" applyBorder="1" applyAlignment="1">
      <alignment horizontal="center" vertical="center" wrapText="1"/>
    </xf>
    <xf numFmtId="0" fontId="36" fillId="27" borderId="0" xfId="0" applyFont="1" applyFill="1" applyAlignment="1">
      <alignment horizontal="center"/>
    </xf>
    <xf numFmtId="0" fontId="36" fillId="27" borderId="0" xfId="0" applyFont="1" applyFill="1"/>
    <xf numFmtId="0" fontId="2" fillId="27" borderId="0" xfId="0" applyFont="1" applyFill="1" applyAlignment="1">
      <alignment horizontal="center"/>
    </xf>
    <xf numFmtId="44" fontId="2" fillId="27" borderId="0" xfId="60" applyFill="1"/>
    <xf numFmtId="0" fontId="20" fillId="0" borderId="42" xfId="0" applyFont="1" applyBorder="1" applyAlignment="1" applyProtection="1">
      <alignment horizontal="center" vertical="center"/>
      <protection locked="0"/>
    </xf>
    <xf numFmtId="0" fontId="0" fillId="29" borderId="14" xfId="0" applyFill="1" applyBorder="1" applyAlignment="1">
      <alignment horizontal="center" vertical="center"/>
    </xf>
    <xf numFmtId="0" fontId="39" fillId="0" borderId="0" xfId="0" applyFont="1"/>
    <xf numFmtId="0" fontId="38" fillId="0" borderId="77" xfId="0" applyFont="1" applyBorder="1" applyAlignment="1">
      <alignment horizontal="center" vertical="center" wrapText="1"/>
    </xf>
    <xf numFmtId="0" fontId="38" fillId="0" borderId="78" xfId="0" applyFont="1" applyBorder="1" applyAlignment="1">
      <alignment horizontal="center" vertical="center" wrapText="1"/>
    </xf>
    <xf numFmtId="0" fontId="38" fillId="0" borderId="42" xfId="0" applyFont="1" applyBorder="1" applyAlignment="1">
      <alignment horizontal="center" vertical="center" wrapText="1"/>
    </xf>
    <xf numFmtId="0" fontId="40" fillId="0" borderId="77" xfId="0" applyFont="1" applyBorder="1" applyAlignment="1">
      <alignment vertical="center" wrapText="1"/>
    </xf>
    <xf numFmtId="0" fontId="40" fillId="0" borderId="78" xfId="0" applyFont="1" applyBorder="1" applyAlignment="1">
      <alignment horizontal="center" vertical="center" wrapText="1"/>
    </xf>
    <xf numFmtId="0" fontId="40" fillId="0" borderId="78" xfId="0" applyFont="1" applyBorder="1" applyAlignment="1">
      <alignment vertical="center" wrapText="1"/>
    </xf>
    <xf numFmtId="44" fontId="39" fillId="0" borderId="42" xfId="60" applyFont="1" applyBorder="1"/>
    <xf numFmtId="44" fontId="39" fillId="0" borderId="13" xfId="60" applyFont="1" applyBorder="1"/>
    <xf numFmtId="0" fontId="38" fillId="25" borderId="13" xfId="0" applyFont="1" applyFill="1" applyBorder="1" applyAlignment="1">
      <alignment horizontal="center" vertical="center" wrapText="1"/>
    </xf>
    <xf numFmtId="0" fontId="38" fillId="25" borderId="0" xfId="0" applyFont="1" applyFill="1" applyAlignment="1">
      <alignment horizontal="center" vertical="center" wrapText="1"/>
    </xf>
    <xf numFmtId="44" fontId="41" fillId="25" borderId="45" xfId="0" applyNumberFormat="1" applyFont="1" applyFill="1" applyBorder="1"/>
    <xf numFmtId="0" fontId="31" fillId="27" borderId="79" xfId="0" applyFont="1" applyFill="1" applyBorder="1" applyAlignment="1">
      <alignment horizontal="center" vertical="center"/>
    </xf>
    <xf numFmtId="0" fontId="31" fillId="27" borderId="80" xfId="0" applyFont="1" applyFill="1" applyBorder="1" applyAlignment="1">
      <alignment horizontal="center" vertical="center"/>
    </xf>
    <xf numFmtId="0" fontId="31" fillId="27" borderId="80" xfId="0" applyFont="1" applyFill="1" applyBorder="1" applyAlignment="1">
      <alignment vertical="center"/>
    </xf>
    <xf numFmtId="0" fontId="31" fillId="27" borderId="81" xfId="0" applyFont="1" applyFill="1" applyBorder="1" applyAlignment="1">
      <alignment vertical="center"/>
    </xf>
    <xf numFmtId="0" fontId="20" fillId="0" borderId="83" xfId="0" applyFont="1" applyBorder="1" applyAlignment="1" applyProtection="1">
      <alignment horizontal="center" vertical="center"/>
      <protection locked="0"/>
    </xf>
    <xf numFmtId="0" fontId="0" fillId="0" borderId="88" xfId="0" applyBorder="1" applyAlignment="1">
      <alignment horizontal="justify" vertical="center" wrapText="1"/>
    </xf>
    <xf numFmtId="0" fontId="20" fillId="24" borderId="89" xfId="0" applyFont="1" applyFill="1" applyBorder="1" applyAlignment="1">
      <alignment horizontal="center" vertical="center"/>
    </xf>
    <xf numFmtId="0" fontId="0" fillId="24" borderId="89" xfId="0" applyFill="1" applyBorder="1" applyAlignment="1">
      <alignment horizontal="center" vertical="center"/>
    </xf>
    <xf numFmtId="0" fontId="0" fillId="24" borderId="90" xfId="0" applyFill="1" applyBorder="1" applyAlignment="1">
      <alignment vertical="center"/>
    </xf>
    <xf numFmtId="0" fontId="20" fillId="0" borderId="90" xfId="0" applyFont="1" applyBorder="1" applyAlignment="1">
      <alignment horizontal="center" vertical="center" wrapText="1"/>
    </xf>
    <xf numFmtId="0" fontId="0" fillId="0" borderId="90" xfId="0" applyBorder="1" applyAlignment="1">
      <alignment horizontal="justify" vertical="center" wrapText="1"/>
    </xf>
    <xf numFmtId="0" fontId="0" fillId="0" borderId="95" xfId="0" applyBorder="1" applyAlignment="1" applyProtection="1">
      <alignment vertical="center"/>
      <protection locked="0"/>
    </xf>
    <xf numFmtId="0" fontId="0" fillId="0" borderId="95" xfId="0" applyBorder="1" applyAlignment="1">
      <alignment vertical="center" wrapText="1"/>
    </xf>
    <xf numFmtId="0" fontId="20" fillId="0" borderId="97" xfId="0" applyFont="1" applyBorder="1" applyAlignment="1" applyProtection="1">
      <alignment vertical="center"/>
      <protection locked="0"/>
    </xf>
    <xf numFmtId="0" fontId="0" fillId="0" borderId="101" xfId="0" applyBorder="1" applyAlignment="1">
      <alignment vertical="center"/>
    </xf>
    <xf numFmtId="0" fontId="26" fillId="24" borderId="103" xfId="0" applyFont="1" applyFill="1" applyBorder="1" applyAlignment="1">
      <alignment horizontal="center" vertical="center"/>
    </xf>
    <xf numFmtId="0" fontId="0" fillId="24" borderId="103" xfId="0" applyFill="1" applyBorder="1" applyAlignment="1">
      <alignment horizontal="center" vertical="center"/>
    </xf>
    <xf numFmtId="0" fontId="0" fillId="0" borderId="103" xfId="0" applyBorder="1" applyAlignment="1" applyProtection="1">
      <alignment vertical="center"/>
      <protection locked="0"/>
    </xf>
    <xf numFmtId="0" fontId="0" fillId="0" borderId="105" xfId="0" applyBorder="1" applyAlignment="1">
      <alignment horizontal="justify" vertical="center" wrapText="1"/>
    </xf>
    <xf numFmtId="0" fontId="20" fillId="0" borderId="107" xfId="0" applyFont="1" applyBorder="1" applyAlignment="1">
      <alignment horizontal="justify" vertical="center" wrapText="1"/>
    </xf>
    <xf numFmtId="0" fontId="0" fillId="29" borderId="103" xfId="0" applyFill="1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20" fillId="28" borderId="108" xfId="0" applyFont="1" applyFill="1" applyBorder="1" applyAlignment="1">
      <alignment horizontal="center" vertical="center" wrapText="1"/>
    </xf>
    <xf numFmtId="44" fontId="2" fillId="27" borderId="108" xfId="60" applyFill="1" applyBorder="1"/>
    <xf numFmtId="0" fontId="2" fillId="27" borderId="108" xfId="0" applyFont="1" applyFill="1" applyBorder="1" applyAlignment="1">
      <alignment horizontal="center"/>
    </xf>
    <xf numFmtId="0" fontId="2" fillId="0" borderId="108" xfId="0" applyFont="1" applyBorder="1" applyAlignment="1" applyProtection="1">
      <alignment horizontal="center"/>
      <protection locked="0"/>
    </xf>
    <xf numFmtId="0" fontId="31" fillId="27" borderId="79" xfId="0" applyFont="1" applyFill="1" applyBorder="1" applyAlignment="1">
      <alignment horizontal="center" vertical="center"/>
    </xf>
    <xf numFmtId="0" fontId="0" fillId="24" borderId="58" xfId="0" applyFill="1" applyBorder="1" applyAlignment="1">
      <alignment vertical="center"/>
    </xf>
    <xf numFmtId="0" fontId="20" fillId="0" borderId="112" xfId="0" applyFont="1" applyBorder="1" applyAlignment="1">
      <alignment horizontal="justify" vertical="center" wrapText="1"/>
    </xf>
    <xf numFmtId="0" fontId="20" fillId="0" borderId="116" xfId="0" applyFont="1" applyBorder="1" applyAlignment="1">
      <alignment horizontal="justify" vertical="center" wrapText="1"/>
    </xf>
    <xf numFmtId="0" fontId="42" fillId="0" borderId="116" xfId="0" applyFont="1" applyBorder="1" applyAlignment="1">
      <alignment horizontal="justify" vertical="center" wrapText="1"/>
    </xf>
    <xf numFmtId="0" fontId="0" fillId="24" borderId="121" xfId="0" applyFill="1" applyBorder="1" applyAlignment="1">
      <alignment vertical="center"/>
    </xf>
    <xf numFmtId="0" fontId="0" fillId="0" borderId="119" xfId="0" applyBorder="1" applyAlignment="1">
      <alignment horizontal="justify" vertical="center" wrapText="1"/>
    </xf>
    <xf numFmtId="0" fontId="40" fillId="0" borderId="77" xfId="0" applyFont="1" applyBorder="1" applyAlignment="1">
      <alignment horizontal="left" vertical="center" wrapText="1"/>
    </xf>
    <xf numFmtId="44" fontId="40" fillId="0" borderId="42" xfId="60" applyFont="1" applyBorder="1" applyAlignment="1">
      <alignment horizontal="center" vertical="center" wrapText="1"/>
    </xf>
    <xf numFmtId="0" fontId="40" fillId="0" borderId="42" xfId="60" applyNumberFormat="1" applyFont="1" applyBorder="1" applyAlignment="1">
      <alignment horizontal="center" vertical="center" wrapText="1"/>
    </xf>
    <xf numFmtId="0" fontId="38" fillId="0" borderId="46" xfId="0" applyFont="1" applyFill="1" applyBorder="1" applyAlignment="1">
      <alignment horizontal="center" vertical="center" wrapText="1"/>
    </xf>
    <xf numFmtId="44" fontId="40" fillId="0" borderId="42" xfId="60" applyNumberFormat="1" applyFont="1" applyBorder="1" applyAlignment="1">
      <alignment horizontal="center" vertical="center" wrapText="1"/>
    </xf>
    <xf numFmtId="44" fontId="40" fillId="0" borderId="78" xfId="60" applyFont="1" applyBorder="1" applyAlignment="1">
      <alignment vertical="center" wrapText="1"/>
    </xf>
    <xf numFmtId="0" fontId="1" fillId="0" borderId="42" xfId="60" applyNumberFormat="1" applyFont="1" applyBorder="1" applyAlignment="1">
      <alignment horizontal="center" vertical="center"/>
    </xf>
    <xf numFmtId="44" fontId="1" fillId="0" borderId="42" xfId="0" applyNumberFormat="1" applyFont="1" applyBorder="1" applyAlignment="1">
      <alignment horizontal="center" vertical="center"/>
    </xf>
    <xf numFmtId="44" fontId="41" fillId="31" borderId="42" xfId="0" applyNumberFormat="1" applyFont="1" applyFill="1" applyBorder="1" applyAlignment="1">
      <alignment vertical="center"/>
    </xf>
    <xf numFmtId="44" fontId="39" fillId="0" borderId="46" xfId="60" applyFont="1" applyBorder="1"/>
    <xf numFmtId="44" fontId="41" fillId="25" borderId="0" xfId="0" applyNumberFormat="1" applyFont="1" applyFill="1" applyBorder="1" applyAlignment="1">
      <alignment vertical="center"/>
    </xf>
    <xf numFmtId="0" fontId="38" fillId="25" borderId="0" xfId="0" applyFont="1" applyFill="1" applyBorder="1" applyAlignment="1">
      <alignment vertical="center" wrapText="1"/>
    </xf>
    <xf numFmtId="44" fontId="38" fillId="31" borderId="42" xfId="0" applyNumberFormat="1" applyFont="1" applyFill="1" applyBorder="1" applyAlignment="1">
      <alignment vertical="center" wrapText="1"/>
    </xf>
    <xf numFmtId="0" fontId="0" fillId="0" borderId="89" xfId="0" applyBorder="1" applyAlignment="1">
      <alignment horizontal="center" vertical="center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25" xfId="0" applyBorder="1" applyAlignment="1" applyProtection="1">
      <alignment horizontal="left" vertical="center"/>
      <protection locked="0"/>
    </xf>
    <xf numFmtId="0" fontId="0" fillId="24" borderId="0" xfId="0" applyFill="1" applyAlignment="1">
      <alignment horizontal="left" vertical="center"/>
    </xf>
    <xf numFmtId="0" fontId="43" fillId="0" borderId="11" xfId="0" applyFont="1" applyBorder="1" applyAlignment="1" applyProtection="1">
      <alignment vertical="center" wrapText="1"/>
      <protection locked="0"/>
    </xf>
    <xf numFmtId="0" fontId="43" fillId="0" borderId="11" xfId="0" applyFont="1" applyBorder="1" applyAlignment="1" applyProtection="1">
      <alignment vertical="center"/>
      <protection locked="0"/>
    </xf>
    <xf numFmtId="0" fontId="0" fillId="24" borderId="0" xfId="0" applyFill="1" applyBorder="1" applyAlignment="1">
      <alignment vertical="center"/>
    </xf>
    <xf numFmtId="39" fontId="20" fillId="0" borderId="0" xfId="0" applyNumberFormat="1" applyFont="1" applyBorder="1" applyAlignment="1">
      <alignment horizontal="center" vertical="center"/>
    </xf>
    <xf numFmtId="0" fontId="43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>
      <alignment horizontal="justify" vertical="center" wrapText="1"/>
    </xf>
    <xf numFmtId="2" fontId="20" fillId="24" borderId="0" xfId="0" applyNumberFormat="1" applyFont="1" applyFill="1" applyBorder="1" applyAlignment="1">
      <alignment horizontal="center" vertical="center"/>
    </xf>
    <xf numFmtId="2" fontId="0" fillId="24" borderId="0" xfId="0" applyNumberFormat="1" applyFill="1" applyAlignment="1">
      <alignment horizontal="center" vertical="center"/>
    </xf>
    <xf numFmtId="0" fontId="32" fillId="27" borderId="0" xfId="0" applyFont="1" applyFill="1" applyAlignment="1">
      <alignment horizontal="center" vertical="center"/>
    </xf>
    <xf numFmtId="0" fontId="31" fillId="27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26" borderId="0" xfId="0" applyFont="1" applyFill="1" applyAlignment="1">
      <alignment horizontal="center" vertical="center"/>
    </xf>
    <xf numFmtId="0" fontId="31" fillId="0" borderId="35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0" fillId="27" borderId="35" xfId="0" applyFill="1" applyBorder="1" applyAlignment="1">
      <alignment horizontal="center" vertical="center"/>
    </xf>
    <xf numFmtId="0" fontId="0" fillId="27" borderId="36" xfId="0" applyFill="1" applyBorder="1" applyAlignment="1">
      <alignment horizontal="center" vertical="center"/>
    </xf>
    <xf numFmtId="0" fontId="31" fillId="27" borderId="79" xfId="0" applyFont="1" applyFill="1" applyBorder="1" applyAlignment="1">
      <alignment horizontal="center" vertical="center"/>
    </xf>
    <xf numFmtId="0" fontId="31" fillId="27" borderId="79" xfId="0" applyFont="1" applyFill="1" applyBorder="1" applyAlignment="1">
      <alignment horizontal="left" vertical="center"/>
    </xf>
    <xf numFmtId="14" fontId="31" fillId="27" borderId="79" xfId="0" applyNumberFormat="1" applyFont="1" applyFill="1" applyBorder="1" applyAlignment="1">
      <alignment horizontal="center" vertical="center"/>
    </xf>
    <xf numFmtId="0" fontId="33" fillId="27" borderId="80" xfId="0" applyFont="1" applyFill="1" applyBorder="1" applyAlignment="1">
      <alignment horizontal="center" vertical="center"/>
    </xf>
    <xf numFmtId="0" fontId="33" fillId="27" borderId="81" xfId="0" applyFont="1" applyFill="1" applyBorder="1" applyAlignment="1">
      <alignment horizontal="center" vertical="center"/>
    </xf>
    <xf numFmtId="0" fontId="33" fillId="27" borderId="82" xfId="0" applyFont="1" applyFill="1" applyBorder="1" applyAlignment="1">
      <alignment horizontal="center" vertical="center"/>
    </xf>
    <xf numFmtId="0" fontId="31" fillId="27" borderId="80" xfId="0" applyFont="1" applyFill="1" applyBorder="1" applyAlignment="1">
      <alignment horizontal="left" vertical="center"/>
    </xf>
    <xf numFmtId="0" fontId="31" fillId="27" borderId="81" xfId="0" applyFont="1" applyFill="1" applyBorder="1" applyAlignment="1">
      <alignment horizontal="left" vertical="center"/>
    </xf>
    <xf numFmtId="0" fontId="30" fillId="27" borderId="79" xfId="61" applyFill="1" applyBorder="1" applyAlignment="1">
      <alignment horizontal="center" vertical="center"/>
    </xf>
    <xf numFmtId="0" fontId="33" fillId="27" borderId="79" xfId="0" applyFont="1" applyFill="1" applyBorder="1" applyAlignment="1">
      <alignment horizontal="center" vertical="center"/>
    </xf>
    <xf numFmtId="0" fontId="32" fillId="27" borderId="79" xfId="0" applyFont="1" applyFill="1" applyBorder="1" applyAlignment="1">
      <alignment horizontal="center" vertical="center"/>
    </xf>
    <xf numFmtId="0" fontId="31" fillId="27" borderId="136" xfId="0" applyFont="1" applyFill="1" applyBorder="1" applyAlignment="1">
      <alignment horizontal="center" vertical="center"/>
    </xf>
    <xf numFmtId="0" fontId="31" fillId="27" borderId="137" xfId="0" applyFont="1" applyFill="1" applyBorder="1" applyAlignment="1">
      <alignment horizontal="center" vertical="center"/>
    </xf>
    <xf numFmtId="0" fontId="31" fillId="27" borderId="60" xfId="0" applyFont="1" applyFill="1" applyBorder="1" applyAlignment="1">
      <alignment horizontal="center" vertical="center"/>
    </xf>
    <xf numFmtId="0" fontId="30" fillId="27" borderId="129" xfId="61" applyFill="1" applyBorder="1" applyAlignment="1">
      <alignment horizontal="center" vertical="center" wrapText="1"/>
    </xf>
    <xf numFmtId="0" fontId="30" fillId="27" borderId="127" xfId="61" applyFill="1" applyBorder="1" applyAlignment="1">
      <alignment horizontal="center" vertical="center" wrapText="1"/>
    </xf>
    <xf numFmtId="0" fontId="30" fillId="27" borderId="130" xfId="61" applyFill="1" applyBorder="1" applyAlignment="1">
      <alignment horizontal="center" vertical="center" wrapText="1"/>
    </xf>
    <xf numFmtId="0" fontId="30" fillId="27" borderId="129" xfId="61" applyFill="1" applyBorder="1" applyAlignment="1">
      <alignment horizontal="center" vertical="center"/>
    </xf>
    <xf numFmtId="0" fontId="30" fillId="27" borderId="127" xfId="61" applyFill="1" applyBorder="1" applyAlignment="1">
      <alignment horizontal="center" vertical="center"/>
    </xf>
    <xf numFmtId="0" fontId="30" fillId="27" borderId="130" xfId="61" applyFill="1" applyBorder="1" applyAlignment="1">
      <alignment horizontal="center" vertical="center"/>
    </xf>
    <xf numFmtId="0" fontId="31" fillId="27" borderId="131" xfId="0" applyFont="1" applyFill="1" applyBorder="1" applyAlignment="1">
      <alignment horizontal="left" vertical="center"/>
    </xf>
    <xf numFmtId="0" fontId="31" fillId="27" borderId="132" xfId="0" applyFont="1" applyFill="1" applyBorder="1" applyAlignment="1">
      <alignment horizontal="left" vertical="center"/>
    </xf>
    <xf numFmtId="0" fontId="31" fillId="27" borderId="133" xfId="0" applyFont="1" applyFill="1" applyBorder="1" applyAlignment="1">
      <alignment horizontal="left" vertical="center"/>
    </xf>
    <xf numFmtId="0" fontId="31" fillId="27" borderId="134" xfId="0" applyFont="1" applyFill="1" applyBorder="1" applyAlignment="1">
      <alignment horizontal="left" vertical="center"/>
    </xf>
    <xf numFmtId="0" fontId="31" fillId="27" borderId="0" xfId="0" applyFont="1" applyFill="1" applyBorder="1" applyAlignment="1">
      <alignment horizontal="left" vertical="center"/>
    </xf>
    <xf numFmtId="0" fontId="31" fillId="27" borderId="135" xfId="0" applyFont="1" applyFill="1" applyBorder="1" applyAlignment="1">
      <alignment horizontal="left" vertical="center"/>
    </xf>
    <xf numFmtId="0" fontId="31" fillId="27" borderId="64" xfId="0" applyFont="1" applyFill="1" applyBorder="1" applyAlignment="1">
      <alignment horizontal="left" vertical="center"/>
    </xf>
    <xf numFmtId="0" fontId="31" fillId="27" borderId="104" xfId="0" applyFont="1" applyFill="1" applyBorder="1" applyAlignment="1">
      <alignment horizontal="left" vertical="center"/>
    </xf>
    <xf numFmtId="0" fontId="31" fillId="27" borderId="107" xfId="0" applyFont="1" applyFill="1" applyBorder="1" applyAlignment="1">
      <alignment horizontal="left" vertical="center"/>
    </xf>
    <xf numFmtId="14" fontId="0" fillId="24" borderId="118" xfId="0" applyNumberFormat="1" applyFill="1" applyBorder="1" applyAlignment="1">
      <alignment horizontal="center" vertical="center"/>
    </xf>
    <xf numFmtId="0" fontId="0" fillId="24" borderId="118" xfId="0" applyFill="1" applyBorder="1" applyAlignment="1">
      <alignment horizontal="center" vertical="center"/>
    </xf>
    <xf numFmtId="0" fontId="0" fillId="24" borderId="120" xfId="0" applyFill="1" applyBorder="1" applyAlignment="1">
      <alignment horizontal="center" vertical="center"/>
    </xf>
    <xf numFmtId="0" fontId="20" fillId="0" borderId="91" xfId="0" applyFont="1" applyBorder="1" applyAlignment="1" applyProtection="1">
      <alignment horizontal="center" vertical="center"/>
      <protection locked="0"/>
    </xf>
    <xf numFmtId="0" fontId="20" fillId="0" borderId="92" xfId="0" applyFont="1" applyBorder="1" applyAlignment="1" applyProtection="1">
      <alignment horizontal="center" vertical="center"/>
      <protection locked="0"/>
    </xf>
    <xf numFmtId="0" fontId="20" fillId="0" borderId="93" xfId="0" applyFont="1" applyBorder="1" applyAlignment="1" applyProtection="1">
      <alignment horizontal="center" vertical="center"/>
      <protection locked="0"/>
    </xf>
    <xf numFmtId="0" fontId="20" fillId="0" borderId="94" xfId="0" applyFont="1" applyBorder="1" applyAlignment="1" applyProtection="1">
      <alignment horizontal="center" vertical="center"/>
      <protection locked="0"/>
    </xf>
    <xf numFmtId="39" fontId="0" fillId="0" borderId="96" xfId="0" applyNumberFormat="1" applyBorder="1" applyAlignment="1">
      <alignment horizontal="center" vertical="center"/>
    </xf>
    <xf numFmtId="39" fontId="0" fillId="0" borderId="93" xfId="0" applyNumberFormat="1" applyBorder="1" applyAlignment="1">
      <alignment horizontal="center" vertical="center"/>
    </xf>
    <xf numFmtId="39" fontId="0" fillId="0" borderId="94" xfId="0" applyNumberFormat="1" applyBorder="1" applyAlignment="1">
      <alignment horizontal="center" vertical="center"/>
    </xf>
    <xf numFmtId="9" fontId="2" fillId="0" borderId="96" xfId="33" applyBorder="1" applyAlignment="1" applyProtection="1">
      <alignment horizontal="center" vertical="center"/>
      <protection locked="0"/>
    </xf>
    <xf numFmtId="9" fontId="2" fillId="0" borderId="93" xfId="33" applyBorder="1" applyAlignment="1" applyProtection="1">
      <alignment horizontal="center" vertical="center"/>
      <protection locked="0"/>
    </xf>
    <xf numFmtId="9" fontId="2" fillId="0" borderId="94" xfId="33" applyBorder="1" applyAlignment="1" applyProtection="1">
      <alignment horizontal="center" vertical="center"/>
      <protection locked="0"/>
    </xf>
    <xf numFmtId="39" fontId="0" fillId="0" borderId="96" xfId="0" applyNumberFormat="1" applyBorder="1" applyAlignment="1" applyProtection="1">
      <alignment horizontal="center" vertical="center"/>
      <protection locked="0"/>
    </xf>
    <xf numFmtId="39" fontId="0" fillId="0" borderId="93" xfId="0" applyNumberFormat="1" applyBorder="1" applyAlignment="1" applyProtection="1">
      <alignment horizontal="center" vertical="center"/>
      <protection locked="0"/>
    </xf>
    <xf numFmtId="39" fontId="0" fillId="0" borderId="94" xfId="0" applyNumberFormat="1" applyBorder="1" applyAlignment="1" applyProtection="1">
      <alignment horizontal="center" vertical="center"/>
      <protection locked="0"/>
    </xf>
    <xf numFmtId="0" fontId="20" fillId="24" borderId="0" xfId="0" applyFont="1" applyFill="1" applyAlignment="1">
      <alignment horizontal="center" vertical="center" wrapText="1"/>
    </xf>
    <xf numFmtId="0" fontId="20" fillId="24" borderId="0" xfId="0" applyFont="1" applyFill="1" applyAlignment="1">
      <alignment horizontal="center" vertical="center"/>
    </xf>
    <xf numFmtId="0" fontId="20" fillId="24" borderId="37" xfId="0" applyFont="1" applyFill="1" applyBorder="1" applyAlignment="1">
      <alignment horizontal="center" vertical="center"/>
    </xf>
    <xf numFmtId="0" fontId="20" fillId="24" borderId="106" xfId="0" applyFont="1" applyFill="1" applyBorder="1" applyAlignment="1">
      <alignment horizontal="center" vertical="center"/>
    </xf>
    <xf numFmtId="0" fontId="20" fillId="24" borderId="38" xfId="0" applyFont="1" applyFill="1" applyBorder="1" applyAlignment="1">
      <alignment horizontal="center" vertical="center"/>
    </xf>
    <xf numFmtId="0" fontId="0" fillId="24" borderId="117" xfId="0" applyFill="1" applyBorder="1" applyAlignment="1">
      <alignment horizontal="center" vertical="center"/>
    </xf>
    <xf numFmtId="4" fontId="0" fillId="24" borderId="117" xfId="0" applyNumberFormat="1" applyFill="1" applyBorder="1" applyAlignment="1">
      <alignment horizontal="center" vertical="center"/>
    </xf>
    <xf numFmtId="0" fontId="0" fillId="24" borderId="113" xfId="0" applyFill="1" applyBorder="1" applyAlignment="1">
      <alignment horizontal="center" vertical="center"/>
    </xf>
    <xf numFmtId="0" fontId="0" fillId="24" borderId="114" xfId="0" applyFill="1" applyBorder="1" applyAlignment="1">
      <alignment horizontal="center" vertical="center"/>
    </xf>
    <xf numFmtId="0" fontId="0" fillId="24" borderId="115" xfId="0" applyFill="1" applyBorder="1" applyAlignment="1">
      <alignment horizontal="center" vertical="center"/>
    </xf>
    <xf numFmtId="4" fontId="0" fillId="0" borderId="32" xfId="0" applyNumberFormat="1" applyBorder="1" applyAlignment="1" applyProtection="1">
      <alignment horizontal="center" vertical="center"/>
      <protection locked="0"/>
    </xf>
    <xf numFmtId="4" fontId="0" fillId="0" borderId="39" xfId="0" applyNumberFormat="1" applyBorder="1" applyAlignment="1" applyProtection="1">
      <alignment horizontal="center" vertical="center"/>
      <protection locked="0"/>
    </xf>
    <xf numFmtId="4" fontId="0" fillId="0" borderId="33" xfId="0" applyNumberFormat="1" applyBorder="1" applyAlignment="1" applyProtection="1">
      <alignment horizontal="center" vertical="center"/>
      <protection locked="0"/>
    </xf>
    <xf numFmtId="4" fontId="0" fillId="0" borderId="129" xfId="0" applyNumberFormat="1" applyBorder="1" applyAlignment="1" applyProtection="1">
      <alignment horizontal="center" vertical="center"/>
      <protection locked="0"/>
    </xf>
    <xf numFmtId="4" fontId="0" fillId="0" borderId="127" xfId="0" applyNumberFormat="1" applyBorder="1" applyAlignment="1" applyProtection="1">
      <alignment horizontal="center" vertical="center"/>
      <protection locked="0"/>
    </xf>
    <xf numFmtId="4" fontId="0" fillId="0" borderId="128" xfId="0" applyNumberFormat="1" applyBorder="1" applyAlignment="1" applyProtection="1">
      <alignment horizontal="center" vertical="center"/>
      <protection locked="0"/>
    </xf>
    <xf numFmtId="0" fontId="20" fillId="0" borderId="52" xfId="0" applyFont="1" applyBorder="1" applyAlignment="1" applyProtection="1">
      <alignment horizontal="center" vertical="center"/>
      <protection locked="0"/>
    </xf>
    <xf numFmtId="0" fontId="20" fillId="0" borderId="53" xfId="0" applyFont="1" applyBorder="1" applyAlignment="1" applyProtection="1">
      <alignment horizontal="center" vertical="center"/>
      <protection locked="0"/>
    </xf>
    <xf numFmtId="0" fontId="20" fillId="0" borderId="54" xfId="0" applyFont="1" applyBorder="1" applyAlignment="1" applyProtection="1">
      <alignment horizontal="center" vertical="center"/>
      <protection locked="0"/>
    </xf>
    <xf numFmtId="0" fontId="20" fillId="0" borderId="61" xfId="0" applyFont="1" applyBorder="1" applyAlignment="1">
      <alignment horizontal="left" vertical="center"/>
    </xf>
    <xf numFmtId="0" fontId="20" fillId="0" borderId="62" xfId="0" applyFont="1" applyBorder="1" applyAlignment="1">
      <alignment horizontal="left" vertical="center"/>
    </xf>
    <xf numFmtId="0" fontId="20" fillId="0" borderId="63" xfId="0" applyFont="1" applyBorder="1" applyAlignment="1">
      <alignment horizontal="left" vertical="center"/>
    </xf>
    <xf numFmtId="0" fontId="20" fillId="0" borderId="62" xfId="0" applyFont="1" applyBorder="1" applyAlignment="1" applyProtection="1">
      <alignment horizontal="center" vertical="center"/>
      <protection locked="0"/>
    </xf>
    <xf numFmtId="0" fontId="20" fillId="0" borderId="63" xfId="0" applyFont="1" applyBorder="1" applyAlignment="1" applyProtection="1">
      <alignment horizontal="center" vertical="center"/>
      <protection locked="0"/>
    </xf>
    <xf numFmtId="2" fontId="0" fillId="24" borderId="60" xfId="0" applyNumberFormat="1" applyFill="1" applyBorder="1" applyAlignment="1">
      <alignment horizontal="center" vertical="center"/>
    </xf>
    <xf numFmtId="2" fontId="0" fillId="24" borderId="56" xfId="0" applyNumberFormat="1" applyFill="1" applyBorder="1" applyAlignment="1">
      <alignment horizontal="center" vertical="center"/>
    </xf>
    <xf numFmtId="2" fontId="0" fillId="24" borderId="101" xfId="0" applyNumberFormat="1" applyFill="1" applyBorder="1" applyAlignment="1">
      <alignment horizontal="center" vertical="center"/>
    </xf>
    <xf numFmtId="2" fontId="0" fillId="24" borderId="102" xfId="0" applyNumberFormat="1" applyFill="1" applyBorder="1" applyAlignment="1">
      <alignment horizontal="center" vertical="center"/>
    </xf>
    <xf numFmtId="2" fontId="20" fillId="24" borderId="62" xfId="0" applyNumberFormat="1" applyFont="1" applyFill="1" applyBorder="1" applyAlignment="1">
      <alignment horizontal="center" vertical="center"/>
    </xf>
    <xf numFmtId="2" fontId="20" fillId="24" borderId="63" xfId="0" applyNumberFormat="1" applyFont="1" applyFill="1" applyBorder="1" applyAlignment="1">
      <alignment horizontal="center" vertical="center"/>
    </xf>
    <xf numFmtId="4" fontId="0" fillId="0" borderId="96" xfId="0" applyNumberFormat="1" applyBorder="1" applyAlignment="1" applyProtection="1">
      <alignment horizontal="center" vertical="center"/>
      <protection locked="0"/>
    </xf>
    <xf numFmtId="4" fontId="0" fillId="0" borderId="93" xfId="0" applyNumberFormat="1" applyBorder="1" applyAlignment="1" applyProtection="1">
      <alignment horizontal="center" vertical="center"/>
      <protection locked="0"/>
    </xf>
    <xf numFmtId="4" fontId="0" fillId="0" borderId="94" xfId="0" applyNumberFormat="1" applyBorder="1" applyAlignment="1" applyProtection="1">
      <alignment horizontal="center" vertical="center"/>
      <protection locked="0"/>
    </xf>
    <xf numFmtId="4" fontId="20" fillId="0" borderId="98" xfId="0" applyNumberFormat="1" applyFont="1" applyBorder="1" applyAlignment="1">
      <alignment horizontal="center" vertical="center"/>
    </xf>
    <xf numFmtId="4" fontId="20" fillId="0" borderId="99" xfId="0" applyNumberFormat="1" applyFont="1" applyBorder="1" applyAlignment="1">
      <alignment horizontal="center" vertical="center"/>
    </xf>
    <xf numFmtId="4" fontId="20" fillId="0" borderId="100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2" fontId="26" fillId="24" borderId="103" xfId="0" applyNumberFormat="1" applyFont="1" applyFill="1" applyBorder="1" applyAlignment="1">
      <alignment horizontal="center" vertical="center"/>
    </xf>
    <xf numFmtId="2" fontId="26" fillId="24" borderId="20" xfId="0" applyNumberFormat="1" applyFont="1" applyFill="1" applyBorder="1" applyAlignment="1">
      <alignment horizontal="center" vertical="center"/>
    </xf>
    <xf numFmtId="2" fontId="0" fillId="24" borderId="103" xfId="0" applyNumberFormat="1" applyFill="1" applyBorder="1" applyAlignment="1">
      <alignment horizontal="center" vertical="center"/>
    </xf>
    <xf numFmtId="2" fontId="0" fillId="24" borderId="20" xfId="0" applyNumberFormat="1" applyFill="1" applyBorder="1" applyAlignment="1">
      <alignment horizontal="center" vertical="center"/>
    </xf>
    <xf numFmtId="2" fontId="20" fillId="24" borderId="32" xfId="0" applyNumberFormat="1" applyFont="1" applyFill="1" applyBorder="1" applyAlignment="1">
      <alignment horizontal="center" vertical="center"/>
    </xf>
    <xf numFmtId="0" fontId="20" fillId="24" borderId="33" xfId="0" applyFont="1" applyFill="1" applyBorder="1" applyAlignment="1">
      <alignment horizontal="center" vertical="center"/>
    </xf>
    <xf numFmtId="0" fontId="34" fillId="24" borderId="40" xfId="0" applyFont="1" applyFill="1" applyBorder="1" applyAlignment="1">
      <alignment horizontal="left" vertical="center"/>
    </xf>
    <xf numFmtId="0" fontId="34" fillId="24" borderId="35" xfId="0" applyFont="1" applyFill="1" applyBorder="1" applyAlignment="1">
      <alignment horizontal="left" vertical="center"/>
    </xf>
    <xf numFmtId="0" fontId="34" fillId="24" borderId="36" xfId="0" applyFont="1" applyFill="1" applyBorder="1" applyAlignment="1">
      <alignment horizontal="left" vertical="center"/>
    </xf>
    <xf numFmtId="0" fontId="20" fillId="0" borderId="52" xfId="0" applyFont="1" applyBorder="1" applyAlignment="1" applyProtection="1">
      <alignment horizontal="left" vertical="center"/>
      <protection locked="0"/>
    </xf>
    <xf numFmtId="0" fontId="20" fillId="0" borderId="53" xfId="0" applyFont="1" applyBorder="1" applyAlignment="1" applyProtection="1">
      <alignment horizontal="left" vertical="center"/>
      <protection locked="0"/>
    </xf>
    <xf numFmtId="0" fontId="20" fillId="0" borderId="54" xfId="0" applyFont="1" applyBorder="1" applyAlignment="1" applyProtection="1">
      <alignment horizontal="left" vertical="center"/>
      <protection locked="0"/>
    </xf>
    <xf numFmtId="0" fontId="20" fillId="0" borderId="27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2" fontId="0" fillId="24" borderId="14" xfId="0" applyNumberFormat="1" applyFill="1" applyBorder="1" applyAlignment="1">
      <alignment horizontal="center" vertical="center"/>
    </xf>
    <xf numFmtId="2" fontId="0" fillId="24" borderId="19" xfId="0" applyNumberFormat="1" applyFill="1" applyBorder="1" applyAlignment="1">
      <alignment horizontal="center" vertical="center"/>
    </xf>
    <xf numFmtId="39" fontId="0" fillId="0" borderId="109" xfId="0" applyNumberFormat="1" applyBorder="1" applyAlignment="1" applyProtection="1">
      <alignment horizontal="center" vertical="center"/>
      <protection locked="0"/>
    </xf>
    <xf numFmtId="39" fontId="0" fillId="0" borderId="110" xfId="0" applyNumberFormat="1" applyBorder="1" applyAlignment="1" applyProtection="1">
      <alignment horizontal="center" vertical="center"/>
      <protection locked="0"/>
    </xf>
    <xf numFmtId="39" fontId="20" fillId="0" borderId="18" xfId="0" applyNumberFormat="1" applyFont="1" applyBorder="1" applyAlignment="1">
      <alignment horizontal="center" vertical="center"/>
    </xf>
    <xf numFmtId="39" fontId="20" fillId="0" borderId="21" xfId="0" applyNumberFormat="1" applyFont="1" applyBorder="1" applyAlignment="1">
      <alignment horizontal="center" vertical="center"/>
    </xf>
    <xf numFmtId="0" fontId="20" fillId="0" borderId="40" xfId="0" applyFont="1" applyBorder="1" applyAlignment="1" applyProtection="1">
      <alignment horizontal="center" vertical="center"/>
      <protection locked="0"/>
    </xf>
    <xf numFmtId="0" fontId="20" fillId="0" borderId="35" xfId="0" applyFont="1" applyBorder="1" applyAlignment="1" applyProtection="1">
      <alignment horizontal="center" vertical="center"/>
      <protection locked="0"/>
    </xf>
    <xf numFmtId="0" fontId="20" fillId="0" borderId="36" xfId="0" applyFont="1" applyBorder="1" applyAlignment="1" applyProtection="1">
      <alignment horizontal="center" vertical="center"/>
      <protection locked="0"/>
    </xf>
    <xf numFmtId="39" fontId="20" fillId="0" borderId="66" xfId="0" applyNumberFormat="1" applyFont="1" applyBorder="1" applyAlignment="1">
      <alignment horizontal="center" vertical="center"/>
    </xf>
    <xf numFmtId="39" fontId="20" fillId="0" borderId="67" xfId="0" applyNumberFormat="1" applyFont="1" applyBorder="1" applyAlignment="1">
      <alignment horizontal="center" vertical="center"/>
    </xf>
    <xf numFmtId="39" fontId="0" fillId="0" borderId="64" xfId="0" applyNumberFormat="1" applyBorder="1" applyAlignment="1">
      <alignment horizontal="center" vertical="center"/>
    </xf>
    <xf numFmtId="39" fontId="0" fillId="0" borderId="104" xfId="0" applyNumberFormat="1" applyBorder="1" applyAlignment="1">
      <alignment horizontal="center" vertical="center"/>
    </xf>
    <xf numFmtId="39" fontId="0" fillId="0" borderId="65" xfId="0" applyNumberFormat="1" applyBorder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45" xfId="0" applyFont="1" applyBorder="1" applyAlignment="1" applyProtection="1">
      <alignment horizontal="center" vertical="center"/>
      <protection locked="0"/>
    </xf>
    <xf numFmtId="4" fontId="0" fillId="0" borderId="24" xfId="0" applyNumberFormat="1" applyBorder="1" applyAlignment="1" applyProtection="1">
      <alignment horizontal="center" vertical="center"/>
      <protection locked="0"/>
    </xf>
    <xf numFmtId="4" fontId="0" fillId="0" borderId="25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39" fontId="0" fillId="0" borderId="103" xfId="0" applyNumberFormat="1" applyBorder="1" applyAlignment="1" applyProtection="1">
      <alignment horizontal="center" vertical="center"/>
      <protection locked="0"/>
    </xf>
    <xf numFmtId="39" fontId="0" fillId="0" borderId="20" xfId="0" applyNumberFormat="1" applyBorder="1" applyAlignment="1" applyProtection="1">
      <alignment horizontal="center" vertical="center"/>
      <protection locked="0"/>
    </xf>
    <xf numFmtId="39" fontId="0" fillId="25" borderId="103" xfId="0" applyNumberFormat="1" applyFill="1" applyBorder="1" applyAlignment="1" applyProtection="1">
      <alignment horizontal="center" vertical="center"/>
      <protection locked="0"/>
    </xf>
    <xf numFmtId="39" fontId="0" fillId="25" borderId="20" xfId="0" applyNumberFormat="1" applyFill="1" applyBorder="1" applyAlignment="1" applyProtection="1">
      <alignment horizontal="center" vertical="center"/>
      <protection locked="0"/>
    </xf>
    <xf numFmtId="2" fontId="0" fillId="24" borderId="109" xfId="0" applyNumberFormat="1" applyFill="1" applyBorder="1" applyAlignment="1">
      <alignment horizontal="center" vertical="center"/>
    </xf>
    <xf numFmtId="2" fontId="0" fillId="24" borderId="110" xfId="0" applyNumberFormat="1" applyFill="1" applyBorder="1" applyAlignment="1">
      <alignment horizontal="center" vertical="center"/>
    </xf>
    <xf numFmtId="2" fontId="20" fillId="24" borderId="39" xfId="0" applyNumberFormat="1" applyFont="1" applyFill="1" applyBorder="1" applyAlignment="1">
      <alignment horizontal="center" vertical="center"/>
    </xf>
    <xf numFmtId="2" fontId="20" fillId="24" borderId="33" xfId="0" applyNumberFormat="1" applyFont="1" applyFill="1" applyBorder="1" applyAlignment="1">
      <alignment horizontal="center" vertical="center"/>
    </xf>
    <xf numFmtId="39" fontId="0" fillId="0" borderId="85" xfId="0" applyNumberFormat="1" applyBorder="1" applyAlignment="1">
      <alignment horizontal="center" vertical="center"/>
    </xf>
    <xf numFmtId="39" fontId="0" fillId="0" borderId="86" xfId="0" applyNumberFormat="1" applyBorder="1" applyAlignment="1">
      <alignment horizontal="center" vertical="center"/>
    </xf>
    <xf numFmtId="39" fontId="0" fillId="0" borderId="87" xfId="0" applyNumberFormat="1" applyBorder="1" applyAlignment="1">
      <alignment horizontal="center" vertical="center"/>
    </xf>
    <xf numFmtId="39" fontId="0" fillId="0" borderId="32" xfId="0" applyNumberFormat="1" applyBorder="1" applyAlignment="1">
      <alignment horizontal="center" vertical="center"/>
    </xf>
    <xf numFmtId="39" fontId="0" fillId="0" borderId="39" xfId="0" applyNumberFormat="1" applyBorder="1" applyAlignment="1">
      <alignment horizontal="center" vertical="center"/>
    </xf>
    <xf numFmtId="39" fontId="0" fillId="0" borderId="33" xfId="0" applyNumberFormat="1" applyBorder="1" applyAlignment="1">
      <alignment horizontal="center" vertical="center"/>
    </xf>
    <xf numFmtId="39" fontId="20" fillId="0" borderId="40" xfId="0" applyNumberFormat="1" applyFont="1" applyBorder="1" applyAlignment="1">
      <alignment horizontal="center" vertical="center"/>
    </xf>
    <xf numFmtId="39" fontId="20" fillId="0" borderId="35" xfId="0" applyNumberFormat="1" applyFont="1" applyBorder="1" applyAlignment="1">
      <alignment horizontal="center" vertical="center"/>
    </xf>
    <xf numFmtId="39" fontId="20" fillId="0" borderId="36" xfId="0" applyNumberFormat="1" applyFont="1" applyBorder="1" applyAlignment="1">
      <alignment horizontal="center" vertical="center"/>
    </xf>
    <xf numFmtId="0" fontId="20" fillId="0" borderId="76" xfId="0" applyFont="1" applyBorder="1" applyAlignment="1" applyProtection="1">
      <alignment horizontal="center" vertical="center"/>
      <protection locked="0"/>
    </xf>
    <xf numFmtId="0" fontId="20" fillId="0" borderId="70" xfId="0" applyFont="1" applyBorder="1" applyAlignment="1" applyProtection="1">
      <alignment horizontal="center" vertical="center"/>
      <protection locked="0"/>
    </xf>
    <xf numFmtId="0" fontId="20" fillId="0" borderId="71" xfId="0" applyFont="1" applyBorder="1" applyAlignment="1" applyProtection="1">
      <alignment horizontal="center" vertical="center"/>
      <protection locked="0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2" fontId="0" fillId="24" borderId="37" xfId="0" applyNumberFormat="1" applyFill="1" applyBorder="1" applyAlignment="1">
      <alignment horizontal="center" vertical="center"/>
    </xf>
    <xf numFmtId="2" fontId="0" fillId="24" borderId="106" xfId="0" applyNumberFormat="1" applyFill="1" applyBorder="1" applyAlignment="1">
      <alignment horizontal="center" vertical="center"/>
    </xf>
    <xf numFmtId="2" fontId="0" fillId="24" borderId="38" xfId="0" applyNumberFormat="1" applyFill="1" applyBorder="1" applyAlignment="1">
      <alignment horizontal="center" vertical="center"/>
    </xf>
    <xf numFmtId="2" fontId="20" fillId="24" borderId="85" xfId="0" applyNumberFormat="1" applyFont="1" applyFill="1" applyBorder="1" applyAlignment="1">
      <alignment horizontal="center" vertical="center"/>
    </xf>
    <xf numFmtId="2" fontId="20" fillId="24" borderId="111" xfId="0" applyNumberFormat="1" applyFont="1" applyFill="1" applyBorder="1" applyAlignment="1">
      <alignment horizontal="center" vertical="center"/>
    </xf>
    <xf numFmtId="2" fontId="20" fillId="24" borderId="112" xfId="0" applyNumberFormat="1" applyFont="1" applyFill="1" applyBorder="1" applyAlignment="1">
      <alignment horizontal="center" vertical="center"/>
    </xf>
    <xf numFmtId="2" fontId="20" fillId="24" borderId="87" xfId="0" applyNumberFormat="1" applyFont="1" applyFill="1" applyBorder="1" applyAlignment="1">
      <alignment horizontal="center" vertical="center"/>
    </xf>
    <xf numFmtId="2" fontId="42" fillId="24" borderId="85" xfId="0" applyNumberFormat="1" applyFont="1" applyFill="1" applyBorder="1" applyAlignment="1">
      <alignment horizontal="center" vertical="center"/>
    </xf>
    <xf numFmtId="2" fontId="42" fillId="24" borderId="111" xfId="0" applyNumberFormat="1" applyFont="1" applyFill="1" applyBorder="1" applyAlignment="1">
      <alignment horizontal="center" vertical="center"/>
    </xf>
    <xf numFmtId="2" fontId="42" fillId="24" borderId="87" xfId="0" applyNumberFormat="1" applyFont="1" applyFill="1" applyBorder="1" applyAlignment="1">
      <alignment horizontal="center" vertical="center"/>
    </xf>
    <xf numFmtId="0" fontId="20" fillId="0" borderId="69" xfId="0" applyFont="1" applyBorder="1" applyAlignment="1" applyProtection="1">
      <alignment horizontal="center" vertical="center"/>
      <protection locked="0"/>
    </xf>
    <xf numFmtId="0" fontId="20" fillId="0" borderId="35" xfId="0" applyFont="1" applyBorder="1" applyAlignment="1" applyProtection="1">
      <alignment horizontal="left" vertical="center"/>
      <protection locked="0"/>
    </xf>
    <xf numFmtId="0" fontId="20" fillId="0" borderId="36" xfId="0" applyFont="1" applyBorder="1" applyAlignment="1" applyProtection="1">
      <alignment horizontal="left" vertical="center"/>
      <protection locked="0"/>
    </xf>
    <xf numFmtId="0" fontId="20" fillId="0" borderId="25" xfId="0" applyFont="1" applyBorder="1" applyAlignment="1">
      <alignment horizontal="center" vertical="center" wrapText="1"/>
    </xf>
    <xf numFmtId="2" fontId="0" fillId="24" borderId="117" xfId="0" applyNumberFormat="1" applyFill="1" applyBorder="1" applyAlignment="1">
      <alignment horizontal="center" vertical="center"/>
    </xf>
    <xf numFmtId="2" fontId="0" fillId="24" borderId="122" xfId="0" applyNumberFormat="1" applyFill="1" applyBorder="1" applyAlignment="1">
      <alignment horizontal="center" vertical="center"/>
    </xf>
    <xf numFmtId="2" fontId="0" fillId="24" borderId="123" xfId="0" applyNumberFormat="1" applyFill="1" applyBorder="1" applyAlignment="1">
      <alignment horizontal="center" vertical="center"/>
    </xf>
    <xf numFmtId="2" fontId="0" fillId="24" borderId="124" xfId="0" applyNumberFormat="1" applyFill="1" applyBorder="1" applyAlignment="1">
      <alignment horizontal="center" vertical="center"/>
    </xf>
    <xf numFmtId="0" fontId="20" fillId="0" borderId="73" xfId="0" applyFont="1" applyBorder="1" applyAlignment="1" applyProtection="1">
      <alignment horizontal="center"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horizontal="center" vertical="center"/>
      <protection locked="0"/>
    </xf>
    <xf numFmtId="0" fontId="20" fillId="0" borderId="30" xfId="0" applyFont="1" applyBorder="1" applyAlignment="1" applyProtection="1">
      <alignment horizontal="center" vertical="center"/>
      <protection locked="0"/>
    </xf>
    <xf numFmtId="39" fontId="0" fillId="25" borderId="126" xfId="0" applyNumberFormat="1" applyFill="1" applyBorder="1" applyAlignment="1" applyProtection="1">
      <alignment horizontal="center" vertical="center"/>
      <protection locked="0"/>
    </xf>
    <xf numFmtId="39" fontId="0" fillId="25" borderId="127" xfId="0" applyNumberFormat="1" applyFill="1" applyBorder="1" applyAlignment="1" applyProtection="1">
      <alignment horizontal="center" vertical="center"/>
      <protection locked="0"/>
    </xf>
    <xf numFmtId="39" fontId="0" fillId="25" borderId="128" xfId="0" applyNumberFormat="1" applyFill="1" applyBorder="1" applyAlignment="1" applyProtection="1">
      <alignment horizontal="center" vertical="center"/>
      <protection locked="0"/>
    </xf>
    <xf numFmtId="0" fontId="20" fillId="0" borderId="72" xfId="0" applyFont="1" applyBorder="1" applyAlignment="1" applyProtection="1">
      <alignment horizontal="left" vertical="center"/>
      <protection locked="0"/>
    </xf>
    <xf numFmtId="0" fontId="20" fillId="0" borderId="62" xfId="0" applyFont="1" applyBorder="1" applyAlignment="1" applyProtection="1">
      <alignment horizontal="left" vertical="center"/>
      <protection locked="0"/>
    </xf>
    <xf numFmtId="0" fontId="20" fillId="0" borderId="63" xfId="0" applyFont="1" applyBorder="1" applyAlignment="1" applyProtection="1">
      <alignment horizontal="left" vertical="center"/>
      <protection locked="0"/>
    </xf>
    <xf numFmtId="0" fontId="20" fillId="0" borderId="60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2" fontId="0" fillId="24" borderId="32" xfId="0" applyNumberFormat="1" applyFill="1" applyBorder="1" applyAlignment="1">
      <alignment horizontal="center" vertical="center"/>
    </xf>
    <xf numFmtId="2" fontId="0" fillId="24" borderId="39" xfId="0" applyNumberFormat="1" applyFill="1" applyBorder="1" applyAlignment="1">
      <alignment horizontal="center" vertical="center"/>
    </xf>
    <xf numFmtId="2" fontId="0" fillId="24" borderId="33" xfId="0" applyNumberFormat="1" applyFill="1" applyBorder="1" applyAlignment="1">
      <alignment horizontal="center" vertical="center"/>
    </xf>
    <xf numFmtId="2" fontId="20" fillId="29" borderId="62" xfId="0" applyNumberFormat="1" applyFont="1" applyFill="1" applyBorder="1" applyAlignment="1">
      <alignment horizontal="center" vertical="center"/>
    </xf>
    <xf numFmtId="2" fontId="20" fillId="29" borderId="63" xfId="0" applyNumberFormat="1" applyFont="1" applyFill="1" applyBorder="1" applyAlignment="1">
      <alignment horizontal="center" vertical="center"/>
    </xf>
    <xf numFmtId="39" fontId="0" fillId="25" borderId="129" xfId="0" applyNumberFormat="1" applyFill="1" applyBorder="1" applyAlignment="1" applyProtection="1">
      <alignment horizontal="center" vertical="center"/>
      <protection locked="0"/>
    </xf>
    <xf numFmtId="4" fontId="0" fillId="24" borderId="103" xfId="0" applyNumberFormat="1" applyFill="1" applyBorder="1" applyAlignment="1">
      <alignment horizontal="center" vertical="center"/>
    </xf>
    <xf numFmtId="4" fontId="0" fillId="24" borderId="20" xfId="0" applyNumberFormat="1" applyFill="1" applyBorder="1" applyAlignment="1">
      <alignment horizontal="center" vertical="center"/>
    </xf>
    <xf numFmtId="4" fontId="0" fillId="24" borderId="85" xfId="0" applyNumberFormat="1" applyFill="1" applyBorder="1" applyAlignment="1">
      <alignment horizontal="center" vertical="center"/>
    </xf>
    <xf numFmtId="4" fontId="0" fillId="24" borderId="86" xfId="0" applyNumberFormat="1" applyFill="1" applyBorder="1" applyAlignment="1">
      <alignment horizontal="center" vertical="center"/>
    </xf>
    <xf numFmtId="4" fontId="0" fillId="24" borderId="87" xfId="0" applyNumberFormat="1" applyFill="1" applyBorder="1" applyAlignment="1">
      <alignment horizontal="center" vertical="center"/>
    </xf>
    <xf numFmtId="4" fontId="20" fillId="24" borderId="85" xfId="0" applyNumberFormat="1" applyFont="1" applyFill="1" applyBorder="1" applyAlignment="1">
      <alignment horizontal="center" vertical="center"/>
    </xf>
    <xf numFmtId="4" fontId="20" fillId="24" borderId="86" xfId="0" applyNumberFormat="1" applyFont="1" applyFill="1" applyBorder="1" applyAlignment="1">
      <alignment horizontal="center" vertical="center"/>
    </xf>
    <xf numFmtId="4" fontId="20" fillId="24" borderId="87" xfId="0" applyNumberFormat="1" applyFont="1" applyFill="1" applyBorder="1" applyAlignment="1">
      <alignment horizontal="center" vertical="center"/>
    </xf>
    <xf numFmtId="4" fontId="20" fillId="24" borderId="32" xfId="0" applyNumberFormat="1" applyFont="1" applyFill="1" applyBorder="1" applyAlignment="1">
      <alignment horizontal="center" vertical="center"/>
    </xf>
    <xf numFmtId="4" fontId="20" fillId="24" borderId="39" xfId="0" applyNumberFormat="1" applyFont="1" applyFill="1" applyBorder="1" applyAlignment="1">
      <alignment horizontal="center" vertical="center"/>
    </xf>
    <xf numFmtId="4" fontId="20" fillId="24" borderId="33" xfId="0" applyNumberFormat="1" applyFont="1" applyFill="1" applyBorder="1" applyAlignment="1">
      <alignment horizontal="center" vertical="center"/>
    </xf>
    <xf numFmtId="2" fontId="20" fillId="24" borderId="40" xfId="0" applyNumberFormat="1" applyFont="1" applyFill="1" applyBorder="1" applyAlignment="1">
      <alignment horizontal="center" vertical="center"/>
    </xf>
    <xf numFmtId="2" fontId="20" fillId="24" borderId="35" xfId="0" applyNumberFormat="1" applyFont="1" applyFill="1" applyBorder="1" applyAlignment="1">
      <alignment horizontal="center" vertical="center"/>
    </xf>
    <xf numFmtId="2" fontId="20" fillId="24" borderId="36" xfId="0" applyNumberFormat="1" applyFont="1" applyFill="1" applyBorder="1" applyAlignment="1">
      <alignment horizontal="center" vertical="center"/>
    </xf>
    <xf numFmtId="4" fontId="0" fillId="24" borderId="14" xfId="0" applyNumberFormat="1" applyFill="1" applyBorder="1" applyAlignment="1">
      <alignment horizontal="center" vertical="center"/>
    </xf>
    <xf numFmtId="4" fontId="0" fillId="24" borderId="19" xfId="0" applyNumberFormat="1" applyFill="1" applyBorder="1" applyAlignment="1">
      <alignment horizontal="center" vertical="center"/>
    </xf>
    <xf numFmtId="39" fontId="20" fillId="0" borderId="18" xfId="0" applyNumberFormat="1" applyFont="1" applyBorder="1" applyAlignment="1" applyProtection="1">
      <alignment horizontal="center" vertical="center"/>
      <protection locked="0"/>
    </xf>
    <xf numFmtId="39" fontId="20" fillId="0" borderId="21" xfId="0" applyNumberFormat="1" applyFont="1" applyBorder="1" applyAlignment="1" applyProtection="1">
      <alignment horizontal="center" vertical="center"/>
      <protection locked="0"/>
    </xf>
    <xf numFmtId="0" fontId="20" fillId="0" borderId="74" xfId="0" applyFont="1" applyBorder="1" applyAlignment="1" applyProtection="1">
      <alignment horizontal="center" vertical="center"/>
      <protection locked="0"/>
    </xf>
    <xf numFmtId="0" fontId="20" fillId="0" borderId="31" xfId="0" applyFont="1" applyBorder="1" applyAlignment="1" applyProtection="1">
      <alignment horizontal="center" vertical="center"/>
      <protection locked="0"/>
    </xf>
    <xf numFmtId="0" fontId="38" fillId="31" borderId="40" xfId="0" applyFont="1" applyFill="1" applyBorder="1" applyAlignment="1">
      <alignment horizontal="center" vertical="center"/>
    </xf>
    <xf numFmtId="0" fontId="38" fillId="31" borderId="35" xfId="0" applyFont="1" applyFill="1" applyBorder="1" applyAlignment="1">
      <alignment horizontal="center" vertical="center"/>
    </xf>
    <xf numFmtId="0" fontId="38" fillId="31" borderId="36" xfId="0" applyFont="1" applyFill="1" applyBorder="1" applyAlignment="1">
      <alignment horizontal="center" vertical="center"/>
    </xf>
    <xf numFmtId="0" fontId="38" fillId="30" borderId="40" xfId="0" applyFont="1" applyFill="1" applyBorder="1" applyAlignment="1">
      <alignment horizontal="center" vertical="center" wrapText="1"/>
    </xf>
    <xf numFmtId="0" fontId="38" fillId="30" borderId="35" xfId="0" applyFont="1" applyFill="1" applyBorder="1" applyAlignment="1">
      <alignment horizontal="center" vertical="center" wrapText="1"/>
    </xf>
    <xf numFmtId="0" fontId="38" fillId="30" borderId="36" xfId="0" applyFont="1" applyFill="1" applyBorder="1" applyAlignment="1">
      <alignment horizontal="center" vertical="center" wrapText="1"/>
    </xf>
    <xf numFmtId="0" fontId="38" fillId="0" borderId="40" xfId="0" applyFont="1" applyBorder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8" fillId="31" borderId="40" xfId="0" applyFont="1" applyFill="1" applyBorder="1" applyAlignment="1">
      <alignment horizontal="center" vertical="center" wrapText="1"/>
    </xf>
    <xf numFmtId="0" fontId="38" fillId="31" borderId="35" xfId="0" applyFont="1" applyFill="1" applyBorder="1" applyAlignment="1">
      <alignment horizontal="center" vertical="center" wrapText="1"/>
    </xf>
    <xf numFmtId="0" fontId="38" fillId="31" borderId="36" xfId="0" applyFont="1" applyFill="1" applyBorder="1" applyAlignment="1">
      <alignment horizontal="center" vertical="center" wrapText="1"/>
    </xf>
    <xf numFmtId="0" fontId="2" fillId="27" borderId="108" xfId="0" applyFont="1" applyFill="1" applyBorder="1" applyAlignment="1" applyProtection="1">
      <alignment horizontal="left"/>
      <protection locked="0"/>
    </xf>
    <xf numFmtId="168" fontId="2" fillId="27" borderId="84" xfId="44" applyNumberFormat="1" applyFont="1" applyFill="1" applyBorder="1" applyAlignment="1" applyProtection="1">
      <alignment horizontal="center" vertical="center"/>
      <protection locked="0"/>
    </xf>
    <xf numFmtId="0" fontId="2" fillId="27" borderId="108" xfId="0" applyFont="1" applyFill="1" applyBorder="1" applyAlignment="1" applyProtection="1">
      <alignment horizontal="left" wrapText="1"/>
      <protection locked="0"/>
    </xf>
    <xf numFmtId="0" fontId="2" fillId="27" borderId="85" xfId="0" applyFont="1" applyFill="1" applyBorder="1" applyAlignment="1" applyProtection="1">
      <alignment horizontal="left" wrapText="1"/>
      <protection locked="0"/>
    </xf>
    <xf numFmtId="44" fontId="20" fillId="27" borderId="40" xfId="60" applyFont="1" applyFill="1" applyBorder="1" applyAlignment="1" applyProtection="1">
      <alignment horizontal="center" vertical="center"/>
      <protection locked="0"/>
    </xf>
    <xf numFmtId="44" fontId="20" fillId="27" borderId="36" xfId="60" applyFont="1" applyFill="1" applyBorder="1" applyAlignment="1" applyProtection="1">
      <alignment horizontal="center" vertical="center"/>
      <protection locked="0"/>
    </xf>
    <xf numFmtId="0" fontId="0" fillId="27" borderId="85" xfId="0" applyFill="1" applyBorder="1" applyAlignment="1">
      <alignment horizontal="center"/>
    </xf>
    <xf numFmtId="0" fontId="0" fillId="27" borderId="88" xfId="0" applyFill="1" applyBorder="1" applyAlignment="1">
      <alignment horizontal="center"/>
    </xf>
    <xf numFmtId="44" fontId="2" fillId="27" borderId="108" xfId="60" applyFill="1" applyBorder="1" applyAlignment="1">
      <alignment horizontal="center"/>
    </xf>
    <xf numFmtId="167" fontId="2" fillId="0" borderId="108" xfId="0" applyNumberFormat="1" applyFont="1" applyBorder="1" applyAlignment="1" applyProtection="1">
      <alignment horizontal="center"/>
      <protection locked="0"/>
    </xf>
    <xf numFmtId="0" fontId="35" fillId="28" borderId="0" xfId="0" applyFont="1" applyFill="1" applyAlignment="1">
      <alignment horizontal="center"/>
    </xf>
    <xf numFmtId="0" fontId="37" fillId="28" borderId="108" xfId="0" applyFont="1" applyFill="1" applyBorder="1" applyAlignment="1">
      <alignment horizontal="center"/>
    </xf>
    <xf numFmtId="0" fontId="2" fillId="28" borderId="108" xfId="0" applyFont="1" applyFill="1" applyBorder="1" applyAlignment="1" applyProtection="1">
      <alignment horizontal="left"/>
      <protection locked="0"/>
    </xf>
    <xf numFmtId="0" fontId="2" fillId="28" borderId="108" xfId="0" applyFont="1" applyFill="1" applyBorder="1" applyAlignment="1" applyProtection="1">
      <alignment horizontal="center"/>
      <protection locked="0"/>
    </xf>
    <xf numFmtId="167" fontId="2" fillId="27" borderId="108" xfId="0" applyNumberFormat="1" applyFont="1" applyFill="1" applyBorder="1" applyAlignment="1" applyProtection="1">
      <alignment horizontal="center"/>
      <protection locked="0"/>
    </xf>
    <xf numFmtId="0" fontId="20" fillId="28" borderId="108" xfId="0" applyFont="1" applyFill="1" applyBorder="1" applyAlignment="1">
      <alignment horizontal="center" vertical="center"/>
    </xf>
    <xf numFmtId="0" fontId="20" fillId="28" borderId="108" xfId="0" applyFont="1" applyFill="1" applyBorder="1" applyAlignment="1">
      <alignment horizontal="center" vertical="center" wrapText="1"/>
    </xf>
  </cellXfs>
  <cellStyles count="6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iperlink" xfId="61" builtinId="8"/>
    <cellStyle name="Incorreto" xfId="30" builtinId="27" customBuiltin="1"/>
    <cellStyle name="Moeda" xfId="60" builtinId="4"/>
    <cellStyle name="Moeda 2" xfId="46"/>
    <cellStyle name="Moeda 2 2" xfId="47"/>
    <cellStyle name="Moeda 3" xfId="48"/>
    <cellStyle name="Moeda 4" xfId="49"/>
    <cellStyle name="Neutra" xfId="31" builtinId="28" customBuiltin="1"/>
    <cellStyle name="Normal" xfId="0" builtinId="0"/>
    <cellStyle name="Normal 2" xfId="45"/>
    <cellStyle name="Normal 3" xfId="50"/>
    <cellStyle name="Nota" xfId="32" builtinId="10" customBuiltin="1"/>
    <cellStyle name="Porcentagem" xfId="33" builtinId="5"/>
    <cellStyle name="Porcentagem 2" xfId="51"/>
    <cellStyle name="Porcentagem 2 2" xfId="52"/>
    <cellStyle name="Porcentagem 3" xfId="53"/>
    <cellStyle name="Porcentagem 3 2" xfId="54"/>
    <cellStyle name="Saída" xfId="34" builtinId="21" customBuiltin="1"/>
    <cellStyle name="Separador de milhares 2" xfId="55"/>
    <cellStyle name="Separador de milhares 2 2" xfId="56"/>
    <cellStyle name="Separador de milhares 3" xfId="57"/>
    <cellStyle name="Separador de milhares 3 2" xfId="58"/>
    <cellStyle name="TableStyleLight1" xfId="59"/>
    <cellStyle name="Texto de Aviso" xfId="35" builtinId="11" customBuiltin="1"/>
    <cellStyle name="Texto Explicativo" xfId="36" builtinId="53" customBuiltin="1"/>
    <cellStyle name="Título 1" xfId="37" builtinId="16" customBuiltin="1"/>
    <cellStyle name="Título 1 1" xfId="38"/>
    <cellStyle name="Título 1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ec.sp.gov.br/BEC_Servicos_UI/CadTerc/UI_sVolumeItemRelaciona.aspx?chave=&amp;volume=1&amp;tible%20=Vigil%C3%A2ncia%20e%20Seguran%C3%A7a%20Patrimonial%20target=" TargetMode="External"/><Relationship Id="rId2" Type="http://schemas.openxmlformats.org/officeDocument/2006/relationships/hyperlink" Target="https://www.comprasgovernamentais.gov.br/images/conteudo/ArquivosCGNOR/Cadernostecnicos/Cadernos2018/CT_VIG_SP_2018.pdf" TargetMode="External"/><Relationship Id="rId1" Type="http://schemas.openxmlformats.org/officeDocument/2006/relationships/hyperlink" Target="http://seevissp.org.br/wp-content/uploads/2019/01/CCTSEEVISSP2019-2020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comprasgovernamentais.gov.br/images/conteudo/ArquivosCGNOR/Cadernostecnicos/CADERNOS2017/CT--SO-PAULO---VIGILNCIA---2017.pdf" TargetMode="External"/><Relationship Id="rId4" Type="http://schemas.openxmlformats.org/officeDocument/2006/relationships/hyperlink" Target="https://www.comprasgovernamentais.gov.br/images/conteudo/ArquivosCGNOR/servicos_vigilancia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/>
  <dimension ref="B1:M25"/>
  <sheetViews>
    <sheetView zoomScale="115" zoomScaleNormal="115" zoomScaleSheetLayoutView="100" workbookViewId="0">
      <selection activeCell="C12" sqref="C12:G15"/>
    </sheetView>
  </sheetViews>
  <sheetFormatPr defaultColWidth="11.42578125" defaultRowHeight="12.75" x14ac:dyDescent="0.2"/>
  <cols>
    <col min="1" max="1" width="3.42578125" style="9" customWidth="1"/>
    <col min="2" max="2" width="6.28515625" style="9" customWidth="1"/>
    <col min="3" max="3" width="15.5703125" style="9" customWidth="1"/>
    <col min="4" max="5" width="15.7109375" style="9" customWidth="1"/>
    <col min="6" max="6" width="20.5703125" style="10" customWidth="1"/>
    <col min="7" max="16384" width="11.42578125" style="9"/>
  </cols>
  <sheetData>
    <row r="1" spans="2:13" ht="14.25" customHeight="1" x14ac:dyDescent="0.2">
      <c r="B1" s="156"/>
      <c r="C1" s="156"/>
      <c r="D1" s="156"/>
      <c r="E1" s="156"/>
      <c r="F1" s="156"/>
      <c r="G1" s="156"/>
      <c r="H1" s="156"/>
      <c r="I1" s="156"/>
      <c r="J1" s="156"/>
    </row>
    <row r="2" spans="2:13" ht="17.25" customHeight="1" x14ac:dyDescent="0.2">
      <c r="B2" s="157" t="s">
        <v>0</v>
      </c>
      <c r="C2" s="157"/>
      <c r="D2" s="157"/>
      <c r="E2" s="157"/>
      <c r="F2" s="157"/>
      <c r="G2" s="157"/>
      <c r="H2" s="157"/>
      <c r="I2" s="157"/>
      <c r="J2" s="157"/>
    </row>
    <row r="3" spans="2:13" ht="7.5" customHeight="1" thickBot="1" x14ac:dyDescent="0.25">
      <c r="B3" s="155"/>
      <c r="C3" s="155"/>
      <c r="D3" s="155"/>
      <c r="E3" s="155"/>
      <c r="F3" s="155"/>
      <c r="G3" s="155"/>
      <c r="H3" s="155"/>
      <c r="I3" s="155"/>
      <c r="J3" s="155"/>
    </row>
    <row r="4" spans="2:13" ht="17.25" customHeight="1" thickBot="1" x14ac:dyDescent="0.25">
      <c r="B4" s="11"/>
      <c r="C4" s="12" t="s">
        <v>1</v>
      </c>
      <c r="D4" s="160"/>
      <c r="E4" s="161"/>
      <c r="F4" s="13"/>
      <c r="G4" s="13"/>
      <c r="H4" s="13"/>
      <c r="I4" s="13"/>
      <c r="J4" s="13"/>
    </row>
    <row r="5" spans="2:13" ht="17.25" customHeight="1" thickBot="1" x14ac:dyDescent="0.25">
      <c r="B5" s="11"/>
      <c r="C5" s="12" t="s">
        <v>2</v>
      </c>
      <c r="D5" s="158"/>
      <c r="E5" s="159"/>
      <c r="F5" s="13"/>
      <c r="G5" s="13"/>
      <c r="H5" s="13"/>
      <c r="I5" s="13"/>
      <c r="J5" s="13"/>
    </row>
    <row r="6" spans="2:13" ht="8.25" customHeight="1" x14ac:dyDescent="0.2">
      <c r="B6" s="155"/>
      <c r="C6" s="155"/>
      <c r="D6" s="155"/>
      <c r="E6" s="155"/>
      <c r="F6" s="155"/>
      <c r="G6" s="155"/>
      <c r="H6" s="155"/>
      <c r="I6" s="155"/>
      <c r="J6" s="155"/>
    </row>
    <row r="7" spans="2:13" ht="20.100000000000001" customHeight="1" x14ac:dyDescent="0.2">
      <c r="B7" s="154" t="s">
        <v>3</v>
      </c>
      <c r="C7" s="154"/>
      <c r="D7" s="154"/>
      <c r="E7" s="154"/>
      <c r="F7" s="154"/>
      <c r="G7" s="154"/>
      <c r="H7" s="154"/>
      <c r="I7" s="154"/>
      <c r="J7" s="154"/>
      <c r="M7" s="145"/>
    </row>
    <row r="8" spans="2:13" ht="7.5" customHeight="1" x14ac:dyDescent="0.2">
      <c r="B8" s="155"/>
      <c r="C8" s="155"/>
      <c r="D8" s="155"/>
      <c r="E8" s="155"/>
      <c r="F8" s="155"/>
      <c r="G8" s="155"/>
      <c r="H8" s="155"/>
      <c r="I8" s="155"/>
      <c r="J8" s="155"/>
    </row>
    <row r="9" spans="2:13" ht="20.100000000000001" customHeight="1" x14ac:dyDescent="0.2">
      <c r="B9" s="96" t="s">
        <v>4</v>
      </c>
      <c r="C9" s="163" t="s">
        <v>5</v>
      </c>
      <c r="D9" s="163"/>
      <c r="E9" s="163"/>
      <c r="F9" s="163"/>
      <c r="G9" s="163"/>
      <c r="H9" s="164"/>
      <c r="I9" s="162"/>
      <c r="J9" s="162"/>
    </row>
    <row r="10" spans="2:13" ht="20.100000000000001" customHeight="1" x14ac:dyDescent="0.2">
      <c r="B10" s="96" t="s">
        <v>6</v>
      </c>
      <c r="C10" s="163" t="s">
        <v>7</v>
      </c>
      <c r="D10" s="163"/>
      <c r="E10" s="163"/>
      <c r="F10" s="163"/>
      <c r="G10" s="163"/>
      <c r="H10" s="165" t="s">
        <v>153</v>
      </c>
      <c r="I10" s="166"/>
      <c r="J10" s="167"/>
    </row>
    <row r="11" spans="2:13" ht="20.100000000000001" customHeight="1" x14ac:dyDescent="0.2">
      <c r="B11" s="97" t="s">
        <v>8</v>
      </c>
      <c r="C11" s="168" t="s">
        <v>9</v>
      </c>
      <c r="D11" s="169"/>
      <c r="E11" s="169"/>
      <c r="F11" s="169"/>
      <c r="G11" s="169"/>
      <c r="H11" s="170" t="s">
        <v>155</v>
      </c>
      <c r="I11" s="170"/>
      <c r="J11" s="170"/>
    </row>
    <row r="12" spans="2:13" ht="31.5" customHeight="1" x14ac:dyDescent="0.2">
      <c r="B12" s="173" t="s">
        <v>10</v>
      </c>
      <c r="C12" s="182" t="s">
        <v>209</v>
      </c>
      <c r="D12" s="183"/>
      <c r="E12" s="183"/>
      <c r="F12" s="183"/>
      <c r="G12" s="184"/>
      <c r="H12" s="179" t="s">
        <v>205</v>
      </c>
      <c r="I12" s="180"/>
      <c r="J12" s="181"/>
    </row>
    <row r="13" spans="2:13" ht="35.25" customHeight="1" x14ac:dyDescent="0.2">
      <c r="B13" s="174"/>
      <c r="C13" s="185"/>
      <c r="D13" s="186"/>
      <c r="E13" s="186"/>
      <c r="F13" s="186"/>
      <c r="G13" s="187"/>
      <c r="H13" s="176" t="s">
        <v>206</v>
      </c>
      <c r="I13" s="177"/>
      <c r="J13" s="178"/>
    </row>
    <row r="14" spans="2:13" ht="58.5" customHeight="1" x14ac:dyDescent="0.2">
      <c r="B14" s="174"/>
      <c r="C14" s="185"/>
      <c r="D14" s="186"/>
      <c r="E14" s="186"/>
      <c r="F14" s="186"/>
      <c r="G14" s="187"/>
      <c r="H14" s="176" t="s">
        <v>207</v>
      </c>
      <c r="I14" s="177"/>
      <c r="J14" s="178"/>
    </row>
    <row r="15" spans="2:13" ht="50.25" customHeight="1" x14ac:dyDescent="0.2">
      <c r="B15" s="175"/>
      <c r="C15" s="188"/>
      <c r="D15" s="189"/>
      <c r="E15" s="189"/>
      <c r="F15" s="189"/>
      <c r="G15" s="190"/>
      <c r="H15" s="176" t="s">
        <v>204</v>
      </c>
      <c r="I15" s="177"/>
      <c r="J15" s="178"/>
    </row>
    <row r="16" spans="2:13" ht="20.100000000000001" customHeight="1" x14ac:dyDescent="0.2">
      <c r="B16" s="122" t="s">
        <v>31</v>
      </c>
      <c r="C16" s="98" t="s">
        <v>11</v>
      </c>
      <c r="D16" s="99"/>
      <c r="E16" s="99"/>
      <c r="F16" s="99"/>
      <c r="G16" s="99"/>
      <c r="H16" s="171">
        <v>12</v>
      </c>
      <c r="I16" s="171"/>
      <c r="J16" s="171"/>
    </row>
    <row r="17" spans="2:10" ht="12.75" customHeight="1" x14ac:dyDescent="0.2">
      <c r="B17" s="155"/>
      <c r="C17" s="155"/>
      <c r="D17" s="155"/>
      <c r="E17" s="155"/>
      <c r="F17" s="155"/>
      <c r="G17" s="155"/>
      <c r="H17" s="155"/>
      <c r="I17" s="155"/>
      <c r="J17" s="155"/>
    </row>
    <row r="18" spans="2:10" ht="20.100000000000001" customHeight="1" x14ac:dyDescent="0.2">
      <c r="B18" s="154" t="s">
        <v>12</v>
      </c>
      <c r="C18" s="154"/>
      <c r="D18" s="154"/>
      <c r="E18" s="154"/>
      <c r="F18" s="154"/>
      <c r="G18" s="154"/>
      <c r="H18" s="154"/>
      <c r="I18" s="154"/>
      <c r="J18" s="154"/>
    </row>
    <row r="19" spans="2:10" ht="20.100000000000001" customHeight="1" x14ac:dyDescent="0.2">
      <c r="B19" s="172" t="s">
        <v>13</v>
      </c>
      <c r="C19" s="172"/>
      <c r="D19" s="172"/>
      <c r="E19" s="172" t="s">
        <v>14</v>
      </c>
      <c r="F19" s="172"/>
      <c r="G19" s="172"/>
      <c r="H19" s="172" t="s">
        <v>15</v>
      </c>
      <c r="I19" s="172"/>
      <c r="J19" s="172"/>
    </row>
    <row r="20" spans="2:10" ht="20.100000000000001" customHeight="1" x14ac:dyDescent="0.2">
      <c r="B20" s="162" t="s">
        <v>154</v>
      </c>
      <c r="C20" s="162"/>
      <c r="D20" s="162"/>
      <c r="E20" s="162" t="s">
        <v>161</v>
      </c>
      <c r="F20" s="162"/>
      <c r="G20" s="162"/>
      <c r="H20" s="162">
        <v>2</v>
      </c>
      <c r="I20" s="162"/>
      <c r="J20" s="162"/>
    </row>
    <row r="21" spans="2:10" ht="20.100000000000001" customHeight="1" x14ac:dyDescent="0.2"/>
    <row r="22" spans="2:10" ht="20.100000000000001" customHeight="1" x14ac:dyDescent="0.2"/>
    <row r="23" spans="2:10" ht="20.100000000000001" customHeight="1" x14ac:dyDescent="0.2"/>
    <row r="24" spans="2:10" ht="20.100000000000001" customHeight="1" x14ac:dyDescent="0.2"/>
    <row r="25" spans="2:10" ht="20.100000000000001" customHeight="1" x14ac:dyDescent="0.2"/>
  </sheetData>
  <mergeCells count="29">
    <mergeCell ref="H15:J15"/>
    <mergeCell ref="H14:J14"/>
    <mergeCell ref="H12:J12"/>
    <mergeCell ref="H13:J13"/>
    <mergeCell ref="C12:G15"/>
    <mergeCell ref="B20:D20"/>
    <mergeCell ref="E20:G20"/>
    <mergeCell ref="H20:J20"/>
    <mergeCell ref="C9:G9"/>
    <mergeCell ref="H9:J9"/>
    <mergeCell ref="C10:G10"/>
    <mergeCell ref="H10:J10"/>
    <mergeCell ref="C11:G11"/>
    <mergeCell ref="H11:J11"/>
    <mergeCell ref="H16:J16"/>
    <mergeCell ref="B17:J17"/>
    <mergeCell ref="B18:J18"/>
    <mergeCell ref="B19:D19"/>
    <mergeCell ref="E19:G19"/>
    <mergeCell ref="H19:J19"/>
    <mergeCell ref="B12:B15"/>
    <mergeCell ref="B7:J7"/>
    <mergeCell ref="B8:J8"/>
    <mergeCell ref="B1:J1"/>
    <mergeCell ref="B2:J2"/>
    <mergeCell ref="B3:J3"/>
    <mergeCell ref="D5:E5"/>
    <mergeCell ref="B6:J6"/>
    <mergeCell ref="D4:E4"/>
  </mergeCells>
  <hyperlinks>
    <hyperlink ref="H11:J11" r:id="rId1" display="CCT SEEVISP"/>
    <hyperlink ref="H15:J15" r:id="rId2" display="Estudo sobre a Composição dos Custos dos Valores Limites para Serviço de Vigilância - São Paulo 2018 - MPDG"/>
    <hyperlink ref="H12:J12" r:id="rId3" display="CadTerc Vigilância Setembro 2018"/>
    <hyperlink ref="H13:J13" r:id="rId4" display="Caderno de Logística Vigilância 2014 - Compras Governamentais"/>
    <hyperlink ref="H14:J14" r:id="rId5" display="Estudo sobre a composição dos custos dos valores limites para serviços de vigilância - São Paulo 2017 - MPDG"/>
  </hyperlinks>
  <pageMargins left="0.78749999999999998" right="0.78749999999999998" top="1.0527777777777778" bottom="1.0527777777777778" header="0.78749999999999998" footer="0.78749999999999998"/>
  <pageSetup paperSize="9" scale="58" firstPageNumber="0" orientation="portrait" horizontalDpi="300" verticalDpi="300" r:id="rId6"/>
  <headerFooter alignWithMargins="0">
    <oddHeader>&amp;C&amp;"Times New Roman,Normal"&amp;12&amp;A</oddHeader>
    <oddFooter>&amp;C&amp;"Times New Roman,Normal"&amp;12Página &amp;P</oddFooter>
  </headerFooter>
  <colBreaks count="1" manualBreakCount="1">
    <brk id="5" min="8" max="1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38"/>
  <sheetViews>
    <sheetView topLeftCell="B1" zoomScaleNormal="100" zoomScaleSheetLayoutView="100" workbookViewId="0">
      <selection activeCell="J128" sqref="J128"/>
    </sheetView>
  </sheetViews>
  <sheetFormatPr defaultColWidth="11.42578125" defaultRowHeight="12.75" x14ac:dyDescent="0.2"/>
  <cols>
    <col min="1" max="1" width="4.42578125" style="9" customWidth="1"/>
    <col min="2" max="2" width="5.140625" style="9" customWidth="1"/>
    <col min="3" max="3" width="65.7109375" style="9" customWidth="1"/>
    <col min="4" max="4" width="15.5703125" style="9" customWidth="1"/>
    <col min="5" max="6" width="15.7109375" style="9" customWidth="1"/>
    <col min="7" max="7" width="20.5703125" style="10" customWidth="1"/>
    <col min="8" max="16384" width="11.42578125" style="9"/>
  </cols>
  <sheetData>
    <row r="1" spans="2:6" s="10" customFormat="1" ht="23.25" customHeight="1" x14ac:dyDescent="0.2">
      <c r="B1" s="9"/>
      <c r="C1" s="207" t="s">
        <v>16</v>
      </c>
      <c r="D1" s="208"/>
      <c r="E1" s="208"/>
      <c r="F1" s="208"/>
    </row>
    <row r="2" spans="2:6" s="10" customFormat="1" ht="17.25" customHeight="1" thickBot="1" x14ac:dyDescent="0.25">
      <c r="B2" s="9"/>
      <c r="C2" s="14" t="s">
        <v>17</v>
      </c>
      <c r="D2" s="6"/>
      <c r="E2" s="6"/>
      <c r="F2" s="6"/>
    </row>
    <row r="3" spans="2:6" s="10" customFormat="1" ht="15.95" customHeight="1" x14ac:dyDescent="0.2">
      <c r="B3" s="9"/>
      <c r="C3" s="15" t="s">
        <v>18</v>
      </c>
      <c r="D3" s="209" t="s">
        <v>162</v>
      </c>
      <c r="E3" s="210"/>
      <c r="F3" s="211"/>
    </row>
    <row r="4" spans="2:6" s="10" customFormat="1" ht="15.95" customHeight="1" x14ac:dyDescent="0.2">
      <c r="B4" s="9"/>
      <c r="C4" s="5" t="s">
        <v>19</v>
      </c>
      <c r="D4" s="212">
        <v>13</v>
      </c>
      <c r="E4" s="192"/>
      <c r="F4" s="193"/>
    </row>
    <row r="5" spans="2:6" s="10" customFormat="1" ht="15.95" customHeight="1" x14ac:dyDescent="0.2">
      <c r="B5" s="9"/>
      <c r="C5" s="5" t="s">
        <v>20</v>
      </c>
      <c r="D5" s="212">
        <v>5173</v>
      </c>
      <c r="E5" s="192"/>
      <c r="F5" s="193"/>
    </row>
    <row r="6" spans="2:6" s="10" customFormat="1" ht="15.95" customHeight="1" x14ac:dyDescent="0.2">
      <c r="B6" s="9"/>
      <c r="C6" s="16" t="s">
        <v>21</v>
      </c>
      <c r="D6" s="213">
        <v>1547.12</v>
      </c>
      <c r="E6" s="192"/>
      <c r="F6" s="193"/>
    </row>
    <row r="7" spans="2:6" s="10" customFormat="1" ht="15.95" customHeight="1" x14ac:dyDescent="0.2">
      <c r="B7" s="9"/>
      <c r="C7" s="127" t="s">
        <v>22</v>
      </c>
      <c r="D7" s="214" t="s">
        <v>156</v>
      </c>
      <c r="E7" s="215"/>
      <c r="F7" s="216"/>
    </row>
    <row r="8" spans="2:6" s="10" customFormat="1" ht="15.95" customHeight="1" x14ac:dyDescent="0.2">
      <c r="B8" s="9"/>
      <c r="C8" s="16" t="s">
        <v>23</v>
      </c>
      <c r="D8" s="191">
        <v>43466</v>
      </c>
      <c r="E8" s="192"/>
      <c r="F8" s="193"/>
    </row>
    <row r="9" spans="2:6" s="10" customFormat="1" ht="15.75" customHeight="1" x14ac:dyDescent="0.2">
      <c r="B9" s="9"/>
      <c r="C9" s="16" t="s">
        <v>167</v>
      </c>
      <c r="D9" s="220">
        <f>(D21+D59+D72)/30</f>
        <v>127.01020738862273</v>
      </c>
      <c r="E9" s="221"/>
      <c r="F9" s="222"/>
    </row>
    <row r="10" spans="2:6" s="10" customFormat="1" ht="15.75" customHeight="1" thickBot="1" x14ac:dyDescent="0.25">
      <c r="B10" s="9"/>
      <c r="C10" s="123" t="s">
        <v>163</v>
      </c>
      <c r="D10" s="217">
        <f>SUM(D21,D59,D72)/220</f>
        <v>17.319573734812192</v>
      </c>
      <c r="E10" s="218"/>
      <c r="F10" s="219"/>
    </row>
    <row r="11" spans="2:6" s="10" customFormat="1" ht="12" customHeight="1" thickBot="1" x14ac:dyDescent="0.25">
      <c r="B11" s="9"/>
      <c r="C11" s="9"/>
    </row>
    <row r="12" spans="2:6" s="10" customFormat="1" ht="15.75" customHeight="1" x14ac:dyDescent="0.2">
      <c r="B12" s="17"/>
      <c r="C12" s="194" t="s">
        <v>24</v>
      </c>
      <c r="D12" s="194"/>
      <c r="E12" s="194"/>
      <c r="F12" s="195"/>
    </row>
    <row r="13" spans="2:6" s="10" customFormat="1" ht="15.95" customHeight="1" x14ac:dyDescent="0.2">
      <c r="B13" s="18">
        <v>1</v>
      </c>
      <c r="C13" s="100" t="s">
        <v>25</v>
      </c>
      <c r="D13" s="196" t="s">
        <v>26</v>
      </c>
      <c r="E13" s="196"/>
      <c r="F13" s="197"/>
    </row>
    <row r="14" spans="2:6" s="10" customFormat="1" ht="15.95" customHeight="1" x14ac:dyDescent="0.2">
      <c r="B14" s="19" t="s">
        <v>4</v>
      </c>
      <c r="C14" s="107" t="s">
        <v>27</v>
      </c>
      <c r="D14" s="198">
        <f>D6</f>
        <v>1547.12</v>
      </c>
      <c r="E14" s="199"/>
      <c r="F14" s="200"/>
    </row>
    <row r="15" spans="2:6" s="10" customFormat="1" ht="15.95" customHeight="1" x14ac:dyDescent="0.2">
      <c r="B15" s="19" t="s">
        <v>6</v>
      </c>
      <c r="C15" s="107" t="s">
        <v>28</v>
      </c>
      <c r="D15" s="201">
        <v>0.3</v>
      </c>
      <c r="E15" s="202"/>
      <c r="F15" s="203"/>
    </row>
    <row r="16" spans="2:6" ht="15.95" customHeight="1" x14ac:dyDescent="0.2">
      <c r="B16" s="19" t="s">
        <v>8</v>
      </c>
      <c r="C16" s="107" t="s">
        <v>29</v>
      </c>
      <c r="D16" s="204"/>
      <c r="E16" s="205"/>
      <c r="F16" s="206"/>
    </row>
    <row r="17" spans="2:6" ht="15.95" customHeight="1" x14ac:dyDescent="0.2">
      <c r="B17" s="19" t="s">
        <v>10</v>
      </c>
      <c r="C17" s="108" t="s">
        <v>30</v>
      </c>
      <c r="D17" s="237"/>
      <c r="E17" s="238"/>
      <c r="F17" s="239"/>
    </row>
    <row r="18" spans="2:6" ht="15.95" customHeight="1" x14ac:dyDescent="0.2">
      <c r="B18" s="19" t="s">
        <v>31</v>
      </c>
      <c r="C18" s="108" t="s">
        <v>32</v>
      </c>
      <c r="D18" s="237"/>
      <c r="E18" s="238"/>
      <c r="F18" s="239"/>
    </row>
    <row r="19" spans="2:6" ht="15.95" customHeight="1" x14ac:dyDescent="0.2">
      <c r="B19" s="19" t="s">
        <v>33</v>
      </c>
      <c r="C19" s="108" t="s">
        <v>34</v>
      </c>
      <c r="D19" s="237"/>
      <c r="E19" s="238"/>
      <c r="F19" s="239"/>
    </row>
    <row r="20" spans="2:6" ht="15.95" customHeight="1" x14ac:dyDescent="0.2">
      <c r="B20" s="19" t="s">
        <v>35</v>
      </c>
      <c r="C20" s="108" t="s">
        <v>36</v>
      </c>
      <c r="D20" s="237"/>
      <c r="E20" s="238"/>
      <c r="F20" s="239"/>
    </row>
    <row r="21" spans="2:6" ht="15.95" customHeight="1" thickBot="1" x14ac:dyDescent="0.25">
      <c r="B21" s="20"/>
      <c r="C21" s="109" t="s">
        <v>37</v>
      </c>
      <c r="D21" s="240">
        <f>D14+D14*D15</f>
        <v>2011.2559999999999</v>
      </c>
      <c r="E21" s="241"/>
      <c r="F21" s="242"/>
    </row>
    <row r="22" spans="2:6" ht="15.95" customHeight="1" thickBot="1" x14ac:dyDescent="0.25">
      <c r="C22" s="243"/>
      <c r="D22" s="243"/>
      <c r="E22" s="243"/>
      <c r="F22" s="243"/>
    </row>
    <row r="23" spans="2:6" ht="15.95" customHeight="1" thickBot="1" x14ac:dyDescent="0.25">
      <c r="B23" s="29"/>
      <c r="C23" s="223" t="s">
        <v>38</v>
      </c>
      <c r="D23" s="224"/>
      <c r="E23" s="224"/>
      <c r="F23" s="225"/>
    </row>
    <row r="24" spans="2:6" ht="15.95" customHeight="1" thickBot="1" x14ac:dyDescent="0.25">
      <c r="B24" s="30"/>
      <c r="C24" s="226" t="s">
        <v>39</v>
      </c>
      <c r="D24" s="227"/>
      <c r="E24" s="227"/>
      <c r="F24" s="228"/>
    </row>
    <row r="25" spans="2:6" ht="15.95" customHeight="1" thickBot="1" x14ac:dyDescent="0.25">
      <c r="B25" s="7" t="s">
        <v>40</v>
      </c>
      <c r="C25" s="39" t="s">
        <v>41</v>
      </c>
      <c r="D25" s="229" t="s">
        <v>42</v>
      </c>
      <c r="E25" s="229"/>
      <c r="F25" s="230"/>
    </row>
    <row r="26" spans="2:6" ht="15.95" customHeight="1" x14ac:dyDescent="0.2">
      <c r="B26" s="38" t="s">
        <v>4</v>
      </c>
      <c r="C26" s="59" t="s">
        <v>43</v>
      </c>
      <c r="D26" s="231">
        <f>$D$21*8.33%</f>
        <v>167.53762479999997</v>
      </c>
      <c r="E26" s="231"/>
      <c r="F26" s="232"/>
    </row>
    <row r="27" spans="2:6" ht="15.95" customHeight="1" thickBot="1" x14ac:dyDescent="0.25">
      <c r="B27" s="31" t="s">
        <v>6</v>
      </c>
      <c r="C27" s="110" t="s">
        <v>44</v>
      </c>
      <c r="D27" s="233">
        <f>$D$21*(11.11/100)</f>
        <v>223.45054159999995</v>
      </c>
      <c r="E27" s="233"/>
      <c r="F27" s="234"/>
    </row>
    <row r="28" spans="2:6" ht="15.95" customHeight="1" thickBot="1" x14ac:dyDescent="0.25">
      <c r="B28" s="37"/>
      <c r="C28" s="60" t="s">
        <v>45</v>
      </c>
      <c r="D28" s="235">
        <f>SUM(D26:F27)</f>
        <v>390.98816639999995</v>
      </c>
      <c r="E28" s="235"/>
      <c r="F28" s="236"/>
    </row>
    <row r="29" spans="2:6" ht="15.95" customHeight="1" thickBot="1" x14ac:dyDescent="0.25"/>
    <row r="30" spans="2:6" ht="13.5" customHeight="1" thickBot="1" x14ac:dyDescent="0.25">
      <c r="B30" s="33"/>
      <c r="C30" s="253" t="s">
        <v>46</v>
      </c>
      <c r="D30" s="254"/>
      <c r="E30" s="254"/>
      <c r="F30" s="255"/>
    </row>
    <row r="31" spans="2:6" ht="13.5" customHeight="1" thickBot="1" x14ac:dyDescent="0.25">
      <c r="B31" s="34" t="s">
        <v>47</v>
      </c>
      <c r="C31" s="40" t="s">
        <v>48</v>
      </c>
      <c r="D31" s="41" t="s">
        <v>49</v>
      </c>
      <c r="E31" s="256" t="s">
        <v>26</v>
      </c>
      <c r="F31" s="257"/>
    </row>
    <row r="32" spans="2:6" ht="14.25" customHeight="1" x14ac:dyDescent="0.2">
      <c r="B32" s="35" t="s">
        <v>4</v>
      </c>
      <c r="C32" s="42" t="s">
        <v>50</v>
      </c>
      <c r="D32" s="24">
        <v>20</v>
      </c>
      <c r="E32" s="258">
        <f>($D$21+D28)*(D32/100)</f>
        <v>480.44883327999997</v>
      </c>
      <c r="F32" s="259"/>
    </row>
    <row r="33" spans="2:6" ht="14.25" customHeight="1" x14ac:dyDescent="0.2">
      <c r="B33" s="35" t="s">
        <v>6</v>
      </c>
      <c r="C33" s="43" t="s">
        <v>51</v>
      </c>
      <c r="D33" s="111">
        <v>2.5</v>
      </c>
      <c r="E33" s="244">
        <f>($D$21+D28)*(D33/100)</f>
        <v>60.056104159999997</v>
      </c>
      <c r="F33" s="245"/>
    </row>
    <row r="34" spans="2:6" ht="14.25" customHeight="1" x14ac:dyDescent="0.2">
      <c r="B34" s="35" t="s">
        <v>8</v>
      </c>
      <c r="C34" s="44" t="s">
        <v>52</v>
      </c>
      <c r="D34" s="112">
        <v>6</v>
      </c>
      <c r="E34" s="246">
        <f>($D$21+D28)*(D34/100)</f>
        <v>144.13464998399999</v>
      </c>
      <c r="F34" s="247"/>
    </row>
    <row r="35" spans="2:6" ht="14.25" customHeight="1" x14ac:dyDescent="0.2">
      <c r="B35" s="35" t="s">
        <v>10</v>
      </c>
      <c r="C35" s="43" t="s">
        <v>53</v>
      </c>
      <c r="D35" s="111">
        <v>1.5</v>
      </c>
      <c r="E35" s="244">
        <f>($D$21+D28)*(D35/100)</f>
        <v>36.033662495999998</v>
      </c>
      <c r="F35" s="245"/>
    </row>
    <row r="36" spans="2:6" ht="14.25" customHeight="1" x14ac:dyDescent="0.2">
      <c r="B36" s="35" t="s">
        <v>31</v>
      </c>
      <c r="C36" s="43" t="s">
        <v>54</v>
      </c>
      <c r="D36" s="111">
        <v>1</v>
      </c>
      <c r="E36" s="244">
        <f>($D$21+D28)*(D36/100)</f>
        <v>24.022441663999999</v>
      </c>
      <c r="F36" s="245"/>
    </row>
    <row r="37" spans="2:6" ht="14.25" customHeight="1" x14ac:dyDescent="0.2">
      <c r="B37" s="35" t="s">
        <v>33</v>
      </c>
      <c r="C37" s="43" t="s">
        <v>55</v>
      </c>
      <c r="D37" s="111">
        <v>0.6</v>
      </c>
      <c r="E37" s="244">
        <f>($D$21+D28)*(D37/100)</f>
        <v>14.413464998399999</v>
      </c>
      <c r="F37" s="245"/>
    </row>
    <row r="38" spans="2:6" ht="14.25" customHeight="1" x14ac:dyDescent="0.2">
      <c r="B38" s="35" t="s">
        <v>35</v>
      </c>
      <c r="C38" s="43" t="s">
        <v>56</v>
      </c>
      <c r="D38" s="111">
        <v>0.2</v>
      </c>
      <c r="E38" s="244">
        <f>($D$21+D28)*(D38/100)</f>
        <v>4.8044883328000001</v>
      </c>
      <c r="F38" s="245"/>
    </row>
    <row r="39" spans="2:6" ht="14.25" customHeight="1" x14ac:dyDescent="0.2">
      <c r="B39" s="35" t="s">
        <v>57</v>
      </c>
      <c r="C39" s="44" t="s">
        <v>58</v>
      </c>
      <c r="D39" s="112">
        <v>8</v>
      </c>
      <c r="E39" s="246">
        <f>($D$21+D28)*(D39/100)</f>
        <v>192.17953331199999</v>
      </c>
      <c r="F39" s="247"/>
    </row>
    <row r="40" spans="2:6" ht="14.25" customHeight="1" thickBot="1" x14ac:dyDescent="0.25">
      <c r="B40" s="36"/>
      <c r="C40" s="45" t="s">
        <v>59</v>
      </c>
      <c r="D40" s="4">
        <f>SUM(D32:D39)</f>
        <v>39.799999999999997</v>
      </c>
      <c r="E40" s="248">
        <f>SUM(E32:F39)</f>
        <v>956.09317822719993</v>
      </c>
      <c r="F40" s="249"/>
    </row>
    <row r="41" spans="2:6" ht="14.25" customHeight="1" x14ac:dyDescent="0.2">
      <c r="C41" s="3" t="s">
        <v>60</v>
      </c>
    </row>
    <row r="42" spans="2:6" ht="14.25" customHeight="1" thickBot="1" x14ac:dyDescent="0.25">
      <c r="C42" s="3"/>
    </row>
    <row r="43" spans="2:6" ht="14.25" customHeight="1" thickBot="1" x14ac:dyDescent="0.25">
      <c r="B43" s="29"/>
      <c r="C43" s="250" t="s">
        <v>61</v>
      </c>
      <c r="D43" s="251"/>
      <c r="E43" s="251"/>
      <c r="F43" s="252"/>
    </row>
    <row r="44" spans="2:6" ht="14.25" customHeight="1" thickBot="1" x14ac:dyDescent="0.25">
      <c r="B44" s="34" t="s">
        <v>62</v>
      </c>
      <c r="C44" s="2" t="s">
        <v>63</v>
      </c>
      <c r="D44" s="272" t="s">
        <v>26</v>
      </c>
      <c r="E44" s="272"/>
      <c r="F44" s="273"/>
    </row>
    <row r="45" spans="2:6" ht="14.25" customHeight="1" x14ac:dyDescent="0.2">
      <c r="B45" s="35" t="s">
        <v>4</v>
      </c>
      <c r="C45" s="22" t="s">
        <v>64</v>
      </c>
      <c r="D45" s="274">
        <f>4.3*2*D4-(D14*0.06)</f>
        <v>18.972800000000007</v>
      </c>
      <c r="E45" s="275"/>
      <c r="F45" s="276"/>
    </row>
    <row r="46" spans="2:6" ht="14.25" customHeight="1" x14ac:dyDescent="0.2">
      <c r="B46" s="35" t="s">
        <v>6</v>
      </c>
      <c r="C46" s="23" t="s">
        <v>65</v>
      </c>
      <c r="D46" s="277">
        <f>24.4*D4 - 615.37 * 0.18</f>
        <v>206.43340000000001</v>
      </c>
      <c r="E46" s="277"/>
      <c r="F46" s="278"/>
    </row>
    <row r="47" spans="2:6" ht="14.25" customHeight="1" x14ac:dyDescent="0.2">
      <c r="B47" s="35" t="s">
        <v>8</v>
      </c>
      <c r="C47" s="146" t="s">
        <v>159</v>
      </c>
      <c r="D47" s="279"/>
      <c r="E47" s="279"/>
      <c r="F47" s="280"/>
    </row>
    <row r="48" spans="2:6" ht="14.25" customHeight="1" x14ac:dyDescent="0.2">
      <c r="B48" s="35" t="s">
        <v>10</v>
      </c>
      <c r="C48" s="147" t="s">
        <v>158</v>
      </c>
      <c r="D48" s="277"/>
      <c r="E48" s="277"/>
      <c r="F48" s="278"/>
    </row>
    <row r="49" spans="2:6" ht="14.25" customHeight="1" x14ac:dyDescent="0.2">
      <c r="B49" s="35" t="s">
        <v>31</v>
      </c>
      <c r="C49" s="147" t="s">
        <v>160</v>
      </c>
      <c r="D49" s="277"/>
      <c r="E49" s="277"/>
      <c r="F49" s="278"/>
    </row>
    <row r="50" spans="2:6" ht="14.25" customHeight="1" x14ac:dyDescent="0.2">
      <c r="B50" s="35" t="s">
        <v>33</v>
      </c>
      <c r="C50" s="146" t="s">
        <v>157</v>
      </c>
      <c r="D50" s="260"/>
      <c r="E50" s="260"/>
      <c r="F50" s="261"/>
    </row>
    <row r="51" spans="2:6" ht="14.25" customHeight="1" thickBot="1" x14ac:dyDescent="0.25">
      <c r="B51" s="36"/>
      <c r="C51" s="1" t="s">
        <v>67</v>
      </c>
      <c r="D51" s="262">
        <f>SUM(D45:F50)</f>
        <v>225.40620000000001</v>
      </c>
      <c r="E51" s="262"/>
      <c r="F51" s="263"/>
    </row>
    <row r="52" spans="2:6" ht="14.25" customHeight="1" x14ac:dyDescent="0.2">
      <c r="B52" s="148"/>
      <c r="C52" s="150" t="s">
        <v>211</v>
      </c>
      <c r="D52" s="149"/>
      <c r="E52" s="149"/>
      <c r="F52" s="149"/>
    </row>
    <row r="53" spans="2:6" ht="14.25" customHeight="1" thickBot="1" x14ac:dyDescent="0.25">
      <c r="C53" s="46"/>
      <c r="D53" s="47"/>
      <c r="E53" s="47"/>
      <c r="F53" s="47"/>
    </row>
    <row r="54" spans="2:6" ht="14.25" customHeight="1" thickBot="1" x14ac:dyDescent="0.25">
      <c r="B54" s="54"/>
      <c r="C54" s="264" t="s">
        <v>68</v>
      </c>
      <c r="D54" s="265"/>
      <c r="E54" s="265"/>
      <c r="F54" s="266"/>
    </row>
    <row r="55" spans="2:6" ht="14.25" customHeight="1" thickBot="1" x14ac:dyDescent="0.25">
      <c r="B55" s="68">
        <v>2</v>
      </c>
      <c r="C55" s="52" t="s">
        <v>69</v>
      </c>
      <c r="D55" s="267" t="s">
        <v>42</v>
      </c>
      <c r="E55" s="267"/>
      <c r="F55" s="268"/>
    </row>
    <row r="56" spans="2:6" ht="14.25" customHeight="1" x14ac:dyDescent="0.2">
      <c r="B56" s="50" t="s">
        <v>40</v>
      </c>
      <c r="C56" s="51" t="s">
        <v>41</v>
      </c>
      <c r="D56" s="269">
        <f>D28</f>
        <v>390.98816639999995</v>
      </c>
      <c r="E56" s="270"/>
      <c r="F56" s="271"/>
    </row>
    <row r="57" spans="2:6" ht="14.25" customHeight="1" x14ac:dyDescent="0.2">
      <c r="B57" s="32" t="s">
        <v>47</v>
      </c>
      <c r="C57" s="113" t="s">
        <v>48</v>
      </c>
      <c r="D57" s="285">
        <f>E40</f>
        <v>956.09317822719993</v>
      </c>
      <c r="E57" s="286"/>
      <c r="F57" s="287"/>
    </row>
    <row r="58" spans="2:6" ht="14.25" customHeight="1" thickBot="1" x14ac:dyDescent="0.25">
      <c r="B58" s="48" t="s">
        <v>62</v>
      </c>
      <c r="C58" s="49" t="s">
        <v>63</v>
      </c>
      <c r="D58" s="288">
        <f>D51</f>
        <v>225.40620000000001</v>
      </c>
      <c r="E58" s="289"/>
      <c r="F58" s="290"/>
    </row>
    <row r="59" spans="2:6" ht="14.25" customHeight="1" thickBot="1" x14ac:dyDescent="0.25">
      <c r="B59" s="54"/>
      <c r="C59" s="82" t="s">
        <v>45</v>
      </c>
      <c r="D59" s="291">
        <f>SUM(D56:F58)</f>
        <v>1572.4875446271999</v>
      </c>
      <c r="E59" s="292"/>
      <c r="F59" s="293"/>
    </row>
    <row r="60" spans="2:6" ht="14.25" customHeight="1" thickBot="1" x14ac:dyDescent="0.25">
      <c r="C60" s="46"/>
      <c r="D60" s="47"/>
      <c r="E60" s="47"/>
      <c r="F60" s="47"/>
    </row>
    <row r="61" spans="2:6" ht="14.25" customHeight="1" thickBot="1" x14ac:dyDescent="0.25">
      <c r="B61" s="17"/>
      <c r="C61" s="294" t="s">
        <v>70</v>
      </c>
      <c r="D61" s="295"/>
      <c r="E61" s="295"/>
      <c r="F61" s="296"/>
    </row>
    <row r="62" spans="2:6" ht="14.25" customHeight="1" thickBot="1" x14ac:dyDescent="0.25">
      <c r="B62" s="18">
        <v>3</v>
      </c>
      <c r="C62" s="57" t="s">
        <v>71</v>
      </c>
      <c r="D62" s="297" t="s">
        <v>26</v>
      </c>
      <c r="E62" s="298"/>
      <c r="F62" s="299"/>
    </row>
    <row r="63" spans="2:6" ht="14.25" customHeight="1" x14ac:dyDescent="0.2">
      <c r="B63" s="19" t="s">
        <v>4</v>
      </c>
      <c r="C63" s="114" t="s">
        <v>72</v>
      </c>
      <c r="D63" s="300">
        <f>(D21+D28+D51)/12</f>
        <v>218.97086386666663</v>
      </c>
      <c r="E63" s="301"/>
      <c r="F63" s="302"/>
    </row>
    <row r="64" spans="2:6" ht="14.25" customHeight="1" x14ac:dyDescent="0.2">
      <c r="B64" s="19" t="s">
        <v>6</v>
      </c>
      <c r="C64" s="101" t="s">
        <v>73</v>
      </c>
      <c r="D64" s="246">
        <f>D63*(D39/100)</f>
        <v>17.51766910933333</v>
      </c>
      <c r="E64" s="246"/>
      <c r="F64" s="247"/>
    </row>
    <row r="65" spans="2:7" ht="14.25" customHeight="1" x14ac:dyDescent="0.2">
      <c r="B65" s="19" t="s">
        <v>8</v>
      </c>
      <c r="C65" s="101" t="s">
        <v>74</v>
      </c>
      <c r="D65" s="281">
        <f>E39*0.5</f>
        <v>96.089766655999995</v>
      </c>
      <c r="E65" s="281"/>
      <c r="F65" s="282"/>
    </row>
    <row r="66" spans="2:7" ht="14.25" customHeight="1" x14ac:dyDescent="0.2">
      <c r="B66" s="19"/>
      <c r="C66" s="124" t="s">
        <v>165</v>
      </c>
      <c r="D66" s="303">
        <f>(D63+D64+D65)*0.6683</f>
        <v>222.26207764406556</v>
      </c>
      <c r="E66" s="304"/>
      <c r="F66" s="305"/>
    </row>
    <row r="67" spans="2:7" ht="14.25" customHeight="1" x14ac:dyDescent="0.2">
      <c r="B67" s="19" t="s">
        <v>10</v>
      </c>
      <c r="C67" s="101" t="s">
        <v>75</v>
      </c>
      <c r="D67" s="231">
        <f>(D21+D59)/12</f>
        <v>298.64529538559998</v>
      </c>
      <c r="E67" s="231"/>
      <c r="F67" s="232"/>
    </row>
    <row r="68" spans="2:7" ht="14.25" customHeight="1" x14ac:dyDescent="0.2">
      <c r="B68" s="19" t="s">
        <v>31</v>
      </c>
      <c r="C68" s="101" t="s">
        <v>76</v>
      </c>
      <c r="D68" s="246">
        <f>D67*(D40/100)</f>
        <v>118.86082756346877</v>
      </c>
      <c r="E68" s="246"/>
      <c r="F68" s="247"/>
    </row>
    <row r="69" spans="2:7" ht="14.25" customHeight="1" x14ac:dyDescent="0.2">
      <c r="B69" s="19" t="s">
        <v>33</v>
      </c>
      <c r="C69" s="101" t="s">
        <v>77</v>
      </c>
      <c r="D69" s="246">
        <f>E39*0.5</f>
        <v>96.089766655999995</v>
      </c>
      <c r="E69" s="246"/>
      <c r="F69" s="247"/>
    </row>
    <row r="70" spans="2:7" ht="14.25" customHeight="1" x14ac:dyDescent="0.2">
      <c r="B70" s="103"/>
      <c r="C70" s="125" t="s">
        <v>164</v>
      </c>
      <c r="D70" s="303">
        <f>(D67+D68+D69)*0.0743</f>
        <v>38.160174597656614</v>
      </c>
      <c r="E70" s="304"/>
      <c r="F70" s="306"/>
    </row>
    <row r="71" spans="2:7" ht="14.25" customHeight="1" x14ac:dyDescent="0.2">
      <c r="B71" s="103"/>
      <c r="C71" s="126" t="s">
        <v>166</v>
      </c>
      <c r="D71" s="307">
        <f>-(D28*0.0866)</f>
        <v>-33.859575210239996</v>
      </c>
      <c r="E71" s="308"/>
      <c r="F71" s="309"/>
    </row>
    <row r="72" spans="2:7" ht="14.25" customHeight="1" thickBot="1" x14ac:dyDescent="0.25">
      <c r="B72" s="20"/>
      <c r="C72" s="58" t="s">
        <v>59</v>
      </c>
      <c r="D72" s="248">
        <f>D66+D70+D71</f>
        <v>226.56267703148217</v>
      </c>
      <c r="E72" s="283"/>
      <c r="F72" s="284"/>
    </row>
    <row r="73" spans="2:7" ht="14.25" customHeight="1" x14ac:dyDescent="0.2">
      <c r="B73" s="148"/>
      <c r="C73" s="151"/>
      <c r="D73" s="152"/>
      <c r="E73" s="152"/>
      <c r="F73" s="152"/>
    </row>
    <row r="74" spans="2:7" ht="14.25" customHeight="1" thickBot="1" x14ac:dyDescent="0.25"/>
    <row r="75" spans="2:7" ht="14.25" customHeight="1" thickBot="1" x14ac:dyDescent="0.25">
      <c r="B75" s="64"/>
      <c r="C75" s="310" t="s">
        <v>78</v>
      </c>
      <c r="D75" s="295"/>
      <c r="E75" s="295"/>
      <c r="F75" s="296"/>
    </row>
    <row r="76" spans="2:7" ht="14.25" customHeight="1" thickBot="1" x14ac:dyDescent="0.25">
      <c r="B76" s="62"/>
      <c r="C76" s="311" t="s">
        <v>79</v>
      </c>
      <c r="D76" s="311"/>
      <c r="E76" s="311"/>
      <c r="F76" s="312"/>
    </row>
    <row r="77" spans="2:7" ht="14.25" customHeight="1" x14ac:dyDescent="0.2">
      <c r="B77" s="102" t="s">
        <v>80</v>
      </c>
      <c r="C77" s="57" t="s">
        <v>81</v>
      </c>
      <c r="D77" s="256" t="s">
        <v>26</v>
      </c>
      <c r="E77" s="313"/>
      <c r="F77" s="257"/>
    </row>
    <row r="78" spans="2:7" ht="14.25" customHeight="1" x14ac:dyDescent="0.2">
      <c r="B78" s="19" t="s">
        <v>4</v>
      </c>
      <c r="C78" s="101" t="s">
        <v>82</v>
      </c>
      <c r="D78" s="246">
        <f>D4*D9</f>
        <v>1651.1326960520955</v>
      </c>
      <c r="E78" s="246"/>
      <c r="F78" s="247"/>
      <c r="G78" s="153"/>
    </row>
    <row r="79" spans="2:7" ht="14.25" customHeight="1" x14ac:dyDescent="0.2">
      <c r="B79" s="19" t="s">
        <v>6</v>
      </c>
      <c r="C79" s="101" t="s">
        <v>210</v>
      </c>
      <c r="D79" s="246">
        <f>1*D9</f>
        <v>127.01020738862273</v>
      </c>
      <c r="E79" s="246"/>
      <c r="F79" s="247"/>
    </row>
    <row r="80" spans="2:7" ht="14.25" customHeight="1" x14ac:dyDescent="0.2">
      <c r="B80" s="19" t="s">
        <v>8</v>
      </c>
      <c r="C80" s="101" t="s">
        <v>83</v>
      </c>
      <c r="D80" s="246">
        <f>0.3213*D9</f>
        <v>40.808379633964478</v>
      </c>
      <c r="E80" s="246"/>
      <c r="F80" s="247"/>
    </row>
    <row r="81" spans="2:7" ht="14.25" customHeight="1" x14ac:dyDescent="0.2">
      <c r="B81" s="19" t="s">
        <v>10</v>
      </c>
      <c r="C81" s="101" t="s">
        <v>84</v>
      </c>
      <c r="D81" s="246">
        <f>0.6913*D9</f>
        <v>87.802156367754904</v>
      </c>
      <c r="E81" s="246"/>
      <c r="F81" s="247"/>
    </row>
    <row r="82" spans="2:7" ht="14.25" customHeight="1" x14ac:dyDescent="0.2">
      <c r="B82" s="19" t="s">
        <v>31</v>
      </c>
      <c r="C82" s="101" t="s">
        <v>85</v>
      </c>
      <c r="D82" s="246">
        <f>0.2496*D9</f>
        <v>31.701747764200231</v>
      </c>
      <c r="E82" s="246"/>
      <c r="F82" s="247"/>
    </row>
    <row r="83" spans="2:7" ht="14.25" customHeight="1" x14ac:dyDescent="0.2">
      <c r="B83" s="19" t="s">
        <v>33</v>
      </c>
      <c r="C83" s="101" t="s">
        <v>86</v>
      </c>
      <c r="D83" s="246">
        <f>2.5*D9</f>
        <v>317.52551847155684</v>
      </c>
      <c r="E83" s="246"/>
      <c r="F83" s="247"/>
    </row>
    <row r="84" spans="2:7" ht="14.25" customHeight="1" x14ac:dyDescent="0.2">
      <c r="B84" s="19" t="s">
        <v>35</v>
      </c>
      <c r="C84" s="128" t="s">
        <v>171</v>
      </c>
      <c r="D84" s="314">
        <f>0.02*D9</f>
        <v>2.5402041477724548</v>
      </c>
      <c r="E84" s="315"/>
      <c r="F84" s="316"/>
    </row>
    <row r="85" spans="2:7" ht="14.25" customHeight="1" x14ac:dyDescent="0.2">
      <c r="B85" s="19" t="s">
        <v>57</v>
      </c>
      <c r="C85" s="128" t="s">
        <v>169</v>
      </c>
      <c r="D85" s="317">
        <f>0.0309*D9</f>
        <v>3.9246154083084424</v>
      </c>
      <c r="E85" s="315"/>
      <c r="F85" s="316"/>
    </row>
    <row r="86" spans="2:7" ht="14.25" customHeight="1" x14ac:dyDescent="0.2">
      <c r="B86" s="19" t="s">
        <v>174</v>
      </c>
      <c r="C86" s="128" t="s">
        <v>172</v>
      </c>
      <c r="D86" s="317">
        <f>0.004*D9</f>
        <v>0.50804082955449092</v>
      </c>
      <c r="E86" s="315"/>
      <c r="F86" s="316"/>
    </row>
    <row r="87" spans="2:7" ht="14.25" customHeight="1" x14ac:dyDescent="0.2">
      <c r="B87" s="19" t="s">
        <v>175</v>
      </c>
      <c r="C87" s="128" t="s">
        <v>173</v>
      </c>
      <c r="D87" s="317">
        <f>0.0014*D9</f>
        <v>0.17781429034407181</v>
      </c>
      <c r="E87" s="315"/>
      <c r="F87" s="316"/>
    </row>
    <row r="88" spans="2:7" ht="14.25" customHeight="1" x14ac:dyDescent="0.2">
      <c r="B88" s="19" t="s">
        <v>176</v>
      </c>
      <c r="C88" s="128" t="s">
        <v>170</v>
      </c>
      <c r="D88" s="317">
        <f>0.0185*D9</f>
        <v>2.3496888366895203</v>
      </c>
      <c r="E88" s="315"/>
      <c r="F88" s="316"/>
    </row>
    <row r="89" spans="2:7" ht="14.25" customHeight="1" x14ac:dyDescent="0.2">
      <c r="B89" s="19" t="s">
        <v>177</v>
      </c>
      <c r="C89" s="128" t="s">
        <v>168</v>
      </c>
      <c r="D89" s="317">
        <f>0.3044*D9</f>
        <v>38.661907129096761</v>
      </c>
      <c r="E89" s="315"/>
      <c r="F89" s="316"/>
    </row>
    <row r="90" spans="2:7" ht="14.25" customHeight="1" x14ac:dyDescent="0.2">
      <c r="B90" s="19" t="s">
        <v>178</v>
      </c>
      <c r="C90" s="101" t="s">
        <v>36</v>
      </c>
      <c r="D90" s="246"/>
      <c r="E90" s="246"/>
      <c r="F90" s="247"/>
    </row>
    <row r="91" spans="2:7" ht="14.25" customHeight="1" x14ac:dyDescent="0.2">
      <c r="B91" s="19" t="s">
        <v>179</v>
      </c>
      <c r="C91" s="101" t="s">
        <v>87</v>
      </c>
      <c r="D91" s="246">
        <f>2304.14*0.0398</f>
        <v>91.704772000000006</v>
      </c>
      <c r="E91" s="246"/>
      <c r="F91" s="247"/>
    </row>
    <row r="92" spans="2:7" ht="14.25" customHeight="1" thickBot="1" x14ac:dyDescent="0.25">
      <c r="B92" s="20"/>
      <c r="C92" s="58" t="s">
        <v>59</v>
      </c>
      <c r="D92" s="248">
        <f>SUM(D78:F89,D91)/12</f>
        <v>199.65397902666334</v>
      </c>
      <c r="E92" s="283"/>
      <c r="F92" s="284"/>
      <c r="G92" s="25"/>
    </row>
    <row r="93" spans="2:7" ht="14.25" customHeight="1" thickBot="1" x14ac:dyDescent="0.25"/>
    <row r="94" spans="2:7" ht="14.25" customHeight="1" thickBot="1" x14ac:dyDescent="0.25">
      <c r="B94" s="66"/>
      <c r="C94" s="326" t="s">
        <v>88</v>
      </c>
      <c r="D94" s="327"/>
      <c r="E94" s="327"/>
      <c r="F94" s="328"/>
    </row>
    <row r="95" spans="2:7" ht="14.25" customHeight="1" x14ac:dyDescent="0.2">
      <c r="B95" s="67" t="s">
        <v>89</v>
      </c>
      <c r="C95" s="115" t="s">
        <v>66</v>
      </c>
      <c r="D95" s="329" t="s">
        <v>26</v>
      </c>
      <c r="E95" s="329"/>
      <c r="F95" s="330"/>
    </row>
    <row r="96" spans="2:7" ht="14.25" customHeight="1" thickBot="1" x14ac:dyDescent="0.25">
      <c r="B96" s="103" t="s">
        <v>4</v>
      </c>
      <c r="C96" s="104" t="s">
        <v>90</v>
      </c>
      <c r="D96" s="331">
        <f>D4*D10</f>
        <v>225.15445855255848</v>
      </c>
      <c r="E96" s="332"/>
      <c r="F96" s="333"/>
    </row>
    <row r="97" spans="2:7" ht="14.25" customHeight="1" thickBot="1" x14ac:dyDescent="0.25">
      <c r="B97" s="66"/>
      <c r="C97" s="65" t="s">
        <v>59</v>
      </c>
      <c r="D97" s="334">
        <f>SUM(D96)</f>
        <v>225.15445855255848</v>
      </c>
      <c r="E97" s="334"/>
      <c r="F97" s="335"/>
    </row>
    <row r="98" spans="2:7" ht="14.25" customHeight="1" thickBot="1" x14ac:dyDescent="0.25"/>
    <row r="99" spans="2:7" ht="14.25" customHeight="1" thickBot="1" x14ac:dyDescent="0.25">
      <c r="B99" s="54"/>
      <c r="C99" s="264" t="s">
        <v>91</v>
      </c>
      <c r="D99" s="265"/>
      <c r="E99" s="265"/>
      <c r="F99" s="266"/>
      <c r="G99" s="25"/>
    </row>
    <row r="100" spans="2:7" ht="14.25" customHeight="1" thickBot="1" x14ac:dyDescent="0.25">
      <c r="B100" s="69">
        <v>4</v>
      </c>
      <c r="C100" s="52" t="s">
        <v>92</v>
      </c>
      <c r="D100" s="267" t="s">
        <v>42</v>
      </c>
      <c r="E100" s="267"/>
      <c r="F100" s="268"/>
    </row>
    <row r="101" spans="2:7" ht="14.25" customHeight="1" x14ac:dyDescent="0.2">
      <c r="B101" s="50" t="s">
        <v>80</v>
      </c>
      <c r="C101" s="51" t="s">
        <v>81</v>
      </c>
      <c r="D101" s="269">
        <f>D92</f>
        <v>199.65397902666334</v>
      </c>
      <c r="E101" s="270"/>
      <c r="F101" s="271"/>
    </row>
    <row r="102" spans="2:7" ht="14.25" customHeight="1" thickBot="1" x14ac:dyDescent="0.25">
      <c r="B102" s="32" t="s">
        <v>89</v>
      </c>
      <c r="C102" s="113" t="s">
        <v>66</v>
      </c>
      <c r="D102" s="285">
        <f>D97</f>
        <v>225.15445855255848</v>
      </c>
      <c r="E102" s="286"/>
      <c r="F102" s="287"/>
    </row>
    <row r="103" spans="2:7" s="26" customFormat="1" ht="15" customHeight="1" thickBot="1" x14ac:dyDescent="0.25">
      <c r="B103" s="54"/>
      <c r="C103" s="53" t="s">
        <v>45</v>
      </c>
      <c r="D103" s="292">
        <f>SUM(D101:F102)</f>
        <v>424.80843757922185</v>
      </c>
      <c r="E103" s="292"/>
      <c r="F103" s="293"/>
      <c r="G103" s="27"/>
    </row>
    <row r="104" spans="2:7" ht="15" customHeight="1" thickBot="1" x14ac:dyDescent="0.25"/>
    <row r="105" spans="2:7" ht="15" customHeight="1" thickBot="1" x14ac:dyDescent="0.25">
      <c r="B105" s="71"/>
      <c r="C105" s="318" t="s">
        <v>93</v>
      </c>
      <c r="D105" s="319"/>
      <c r="E105" s="319"/>
      <c r="F105" s="320"/>
    </row>
    <row r="106" spans="2:7" ht="15" customHeight="1" x14ac:dyDescent="0.2">
      <c r="B106" s="74">
        <v>5</v>
      </c>
      <c r="C106" s="63" t="s">
        <v>94</v>
      </c>
      <c r="D106" s="321" t="s">
        <v>26</v>
      </c>
      <c r="E106" s="321"/>
      <c r="F106" s="322"/>
      <c r="G106" s="9"/>
    </row>
    <row r="107" spans="2:7" ht="15" customHeight="1" x14ac:dyDescent="0.2">
      <c r="B107" s="73" t="s">
        <v>4</v>
      </c>
      <c r="C107" s="144" t="s">
        <v>95</v>
      </c>
      <c r="D107" s="323">
        <f>Unif!F27</f>
        <v>334.86055555555561</v>
      </c>
      <c r="E107" s="324"/>
      <c r="F107" s="325"/>
      <c r="G107" s="9"/>
    </row>
    <row r="108" spans="2:7" ht="15" customHeight="1" x14ac:dyDescent="0.2">
      <c r="B108" s="142" t="s">
        <v>6</v>
      </c>
      <c r="C108" s="143" t="s">
        <v>96</v>
      </c>
      <c r="D108" s="336">
        <f>Equip!E11</f>
        <v>32.360722222222222</v>
      </c>
      <c r="E108" s="324"/>
      <c r="F108" s="325"/>
      <c r="G108" s="9"/>
    </row>
    <row r="109" spans="2:7" ht="15" customHeight="1" thickBot="1" x14ac:dyDescent="0.25">
      <c r="B109" s="72"/>
      <c r="C109" s="70" t="s">
        <v>97</v>
      </c>
      <c r="D109" s="353">
        <f>SUM(D107:D108)</f>
        <v>367.2212777777778</v>
      </c>
      <c r="E109" s="353"/>
      <c r="F109" s="354"/>
      <c r="G109" s="9"/>
    </row>
    <row r="110" spans="2:7" ht="15" customHeight="1" thickBot="1" x14ac:dyDescent="0.25">
      <c r="B110" s="28"/>
      <c r="C110" s="55"/>
      <c r="D110" s="56"/>
      <c r="E110" s="56"/>
      <c r="F110" s="56"/>
      <c r="G110" s="9"/>
    </row>
    <row r="111" spans="2:7" ht="15" customHeight="1" thickBot="1" x14ac:dyDescent="0.25">
      <c r="B111" s="75"/>
      <c r="C111" s="355" t="s">
        <v>98</v>
      </c>
      <c r="D111" s="356"/>
      <c r="E111" s="356"/>
      <c r="F111" s="356"/>
      <c r="G111" s="9"/>
    </row>
    <row r="112" spans="2:7" ht="15" customHeight="1" thickBot="1" x14ac:dyDescent="0.25">
      <c r="B112" s="74">
        <v>6</v>
      </c>
      <c r="C112" s="57" t="s">
        <v>99</v>
      </c>
      <c r="D112" s="41" t="s">
        <v>49</v>
      </c>
      <c r="E112" s="256" t="s">
        <v>26</v>
      </c>
      <c r="F112" s="257"/>
      <c r="G112" s="9"/>
    </row>
    <row r="113" spans="2:7" ht="15" customHeight="1" x14ac:dyDescent="0.2">
      <c r="B113" s="73" t="s">
        <v>4</v>
      </c>
      <c r="C113" s="114" t="s">
        <v>100</v>
      </c>
      <c r="D113" s="83">
        <v>6</v>
      </c>
      <c r="E113" s="258">
        <f>(D130)*D113/100</f>
        <v>276.14015622094087</v>
      </c>
      <c r="F113" s="259"/>
      <c r="G113" s="9"/>
    </row>
    <row r="114" spans="2:7" ht="15" customHeight="1" x14ac:dyDescent="0.2">
      <c r="B114" s="73" t="s">
        <v>6</v>
      </c>
      <c r="C114" s="101" t="s">
        <v>101</v>
      </c>
      <c r="D114" s="116">
        <v>6.79</v>
      </c>
      <c r="E114" s="246">
        <f>(D130+E113)*D114/100</f>
        <v>331.24852673076668</v>
      </c>
      <c r="F114" s="247"/>
      <c r="G114" s="9"/>
    </row>
    <row r="115" spans="2:7" ht="15" customHeight="1" x14ac:dyDescent="0.2">
      <c r="B115" s="73" t="s">
        <v>8</v>
      </c>
      <c r="C115" s="101" t="s">
        <v>102</v>
      </c>
      <c r="D115" s="112"/>
      <c r="E115" s="246"/>
      <c r="F115" s="247"/>
      <c r="G115" s="9"/>
    </row>
    <row r="116" spans="2:7" ht="15" customHeight="1" x14ac:dyDescent="0.2">
      <c r="B116" s="73"/>
      <c r="C116" s="101" t="s">
        <v>208</v>
      </c>
      <c r="D116" s="112">
        <v>3.65</v>
      </c>
      <c r="E116" s="246">
        <f>((D130+E113+E114)/(1-(D116+D118)/100))*(D116/100)</f>
        <v>208.16086330466305</v>
      </c>
      <c r="F116" s="247"/>
      <c r="G116" s="9"/>
    </row>
    <row r="117" spans="2:7" ht="15" customHeight="1" x14ac:dyDescent="0.2">
      <c r="B117" s="73"/>
      <c r="C117" s="101" t="s">
        <v>103</v>
      </c>
      <c r="D117" s="112"/>
      <c r="E117" s="246"/>
      <c r="F117" s="247"/>
      <c r="G117" s="9"/>
    </row>
    <row r="118" spans="2:7" ht="15" customHeight="1" x14ac:dyDescent="0.2">
      <c r="B118" s="73"/>
      <c r="C118" s="101" t="s">
        <v>104</v>
      </c>
      <c r="D118" s="117">
        <v>5</v>
      </c>
      <c r="E118" s="246">
        <f>((D130+E113+E114)/(1-(D116+D118)/100))*(D118/100)</f>
        <v>285.15186754063433</v>
      </c>
      <c r="F118" s="247"/>
      <c r="G118" s="9"/>
    </row>
    <row r="119" spans="2:7" ht="15" customHeight="1" x14ac:dyDescent="0.2">
      <c r="B119" s="73"/>
      <c r="C119" s="101" t="s">
        <v>105</v>
      </c>
      <c r="D119" s="112"/>
      <c r="E119" s="246"/>
      <c r="F119" s="247"/>
      <c r="G119" s="9"/>
    </row>
    <row r="120" spans="2:7" ht="15" customHeight="1" thickBot="1" x14ac:dyDescent="0.25">
      <c r="B120" s="76"/>
      <c r="C120" s="58" t="s">
        <v>59</v>
      </c>
      <c r="D120" s="4">
        <f>SUM(D113:D119)</f>
        <v>21.439999999999998</v>
      </c>
      <c r="E120" s="248">
        <f>SUM(E113:F119)</f>
        <v>1100.701413797005</v>
      </c>
      <c r="F120" s="249"/>
      <c r="G120" s="9"/>
    </row>
    <row r="121" spans="2:7" ht="15" customHeight="1" x14ac:dyDescent="0.2">
      <c r="B121" s="28"/>
      <c r="C121" s="55"/>
      <c r="D121" s="56"/>
      <c r="E121" s="56"/>
      <c r="F121" s="56"/>
      <c r="G121" s="9"/>
    </row>
    <row r="122" spans="2:7" ht="15" customHeight="1" x14ac:dyDescent="0.2">
      <c r="C122" s="208" t="s">
        <v>106</v>
      </c>
      <c r="D122" s="208"/>
      <c r="E122" s="208"/>
      <c r="F122" s="208"/>
      <c r="G122" s="9"/>
    </row>
    <row r="123" spans="2:7" ht="15" customHeight="1" thickBot="1" x14ac:dyDescent="0.25">
      <c r="C123" s="21"/>
      <c r="G123" s="9"/>
    </row>
    <row r="124" spans="2:7" ht="15" customHeight="1" thickBot="1" x14ac:dyDescent="0.25">
      <c r="B124" s="17"/>
      <c r="C124" s="57" t="s">
        <v>107</v>
      </c>
      <c r="D124" s="256" t="s">
        <v>26</v>
      </c>
      <c r="E124" s="313"/>
      <c r="F124" s="257"/>
      <c r="G124" s="9"/>
    </row>
    <row r="125" spans="2:7" ht="15" customHeight="1" x14ac:dyDescent="0.2">
      <c r="B125" s="61" t="s">
        <v>4</v>
      </c>
      <c r="C125" s="114" t="s">
        <v>108</v>
      </c>
      <c r="D125" s="351">
        <f>D21</f>
        <v>2011.2559999999999</v>
      </c>
      <c r="E125" s="351"/>
      <c r="F125" s="352"/>
      <c r="G125" s="9"/>
    </row>
    <row r="126" spans="2:7" s="26" customFormat="1" ht="15" customHeight="1" x14ac:dyDescent="0.2">
      <c r="B126" s="61" t="s">
        <v>6</v>
      </c>
      <c r="C126" s="101" t="s">
        <v>109</v>
      </c>
      <c r="D126" s="337">
        <f>D59</f>
        <v>1572.4875446271999</v>
      </c>
      <c r="E126" s="337"/>
      <c r="F126" s="338"/>
    </row>
    <row r="127" spans="2:7" s="26" customFormat="1" ht="15" customHeight="1" x14ac:dyDescent="0.2">
      <c r="B127" s="61" t="s">
        <v>8</v>
      </c>
      <c r="C127" s="101" t="s">
        <v>110</v>
      </c>
      <c r="D127" s="337">
        <f>D72</f>
        <v>226.56267703148217</v>
      </c>
      <c r="E127" s="337"/>
      <c r="F127" s="338"/>
    </row>
    <row r="128" spans="2:7" s="26" customFormat="1" ht="15" customHeight="1" x14ac:dyDescent="0.2">
      <c r="B128" s="61" t="s">
        <v>10</v>
      </c>
      <c r="C128" s="101" t="s">
        <v>78</v>
      </c>
      <c r="D128" s="337">
        <f>D103</f>
        <v>424.80843757922185</v>
      </c>
      <c r="E128" s="337"/>
      <c r="F128" s="338"/>
    </row>
    <row r="129" spans="2:6" s="26" customFormat="1" ht="15" customHeight="1" x14ac:dyDescent="0.2">
      <c r="B129" s="61" t="s">
        <v>31</v>
      </c>
      <c r="C129" s="101" t="s">
        <v>111</v>
      </c>
      <c r="D129" s="339">
        <f>D109</f>
        <v>367.2212777777778</v>
      </c>
      <c r="E129" s="340"/>
      <c r="F129" s="341"/>
    </row>
    <row r="130" spans="2:6" s="26" customFormat="1" ht="15" customHeight="1" x14ac:dyDescent="0.2">
      <c r="B130" s="61"/>
      <c r="C130" s="105" t="s">
        <v>112</v>
      </c>
      <c r="D130" s="342">
        <f>SUM(D125:F129)</f>
        <v>4602.3359370156813</v>
      </c>
      <c r="E130" s="343"/>
      <c r="F130" s="344"/>
    </row>
    <row r="131" spans="2:6" s="26" customFormat="1" ht="15" customHeight="1" x14ac:dyDescent="0.2">
      <c r="B131" s="61" t="s">
        <v>33</v>
      </c>
      <c r="C131" s="106" t="s">
        <v>113</v>
      </c>
      <c r="D131" s="339">
        <f>E120</f>
        <v>1100.701413797005</v>
      </c>
      <c r="E131" s="340"/>
      <c r="F131" s="341"/>
    </row>
    <row r="132" spans="2:6" s="26" customFormat="1" ht="15" customHeight="1" thickBot="1" x14ac:dyDescent="0.25">
      <c r="B132" s="61"/>
      <c r="C132" s="58" t="s">
        <v>114</v>
      </c>
      <c r="D132" s="345">
        <f>SUM(D130:F131)</f>
        <v>5703.0373508126868</v>
      </c>
      <c r="E132" s="346"/>
      <c r="F132" s="347"/>
    </row>
    <row r="133" spans="2:6" s="26" customFormat="1" ht="15" customHeight="1" thickBot="1" x14ac:dyDescent="0.25">
      <c r="B133" s="20"/>
      <c r="C133" s="77" t="s">
        <v>115</v>
      </c>
      <c r="D133" s="348">
        <f>D132/D21</f>
        <v>2.8355601429219788</v>
      </c>
      <c r="E133" s="349"/>
      <c r="F133" s="350"/>
    </row>
    <row r="134" spans="2:6" s="26" customFormat="1" ht="15" customHeight="1" x14ac:dyDescent="0.2">
      <c r="B134" s="9"/>
      <c r="C134" s="21"/>
      <c r="D134" s="9"/>
      <c r="E134" s="9"/>
      <c r="F134" s="9"/>
    </row>
    <row r="135" spans="2:6" s="26" customFormat="1" ht="15" customHeight="1" x14ac:dyDescent="0.2">
      <c r="B135" s="9"/>
      <c r="C135" s="9"/>
      <c r="D135" s="9"/>
      <c r="E135" s="9"/>
      <c r="F135" s="9"/>
    </row>
    <row r="136" spans="2:6" s="26" customFormat="1" ht="15" customHeight="1" x14ac:dyDescent="0.2">
      <c r="B136" s="9"/>
      <c r="C136" s="9"/>
      <c r="D136" s="9"/>
      <c r="E136" s="9"/>
      <c r="F136" s="9"/>
    </row>
    <row r="137" spans="2:6" s="26" customFormat="1" ht="15" customHeight="1" x14ac:dyDescent="0.2">
      <c r="B137" s="9"/>
      <c r="C137" s="9"/>
      <c r="D137" s="9"/>
      <c r="E137" s="9"/>
      <c r="F137" s="9"/>
    </row>
    <row r="138" spans="2:6" s="26" customFormat="1" ht="15" customHeight="1" x14ac:dyDescent="0.2">
      <c r="B138" s="9"/>
      <c r="C138" s="9"/>
      <c r="D138" s="9"/>
      <c r="E138" s="9"/>
      <c r="F138" s="9"/>
    </row>
  </sheetData>
  <mergeCells count="117">
    <mergeCell ref="D108:F108"/>
    <mergeCell ref="D128:F128"/>
    <mergeCell ref="D129:F129"/>
    <mergeCell ref="D130:F130"/>
    <mergeCell ref="D131:F131"/>
    <mergeCell ref="D132:F132"/>
    <mergeCell ref="D133:F133"/>
    <mergeCell ref="E120:F120"/>
    <mergeCell ref="C122:F122"/>
    <mergeCell ref="D124:F124"/>
    <mergeCell ref="D125:F125"/>
    <mergeCell ref="D126:F126"/>
    <mergeCell ref="D127:F127"/>
    <mergeCell ref="E114:F114"/>
    <mergeCell ref="E115:F115"/>
    <mergeCell ref="E116:F116"/>
    <mergeCell ref="E117:F117"/>
    <mergeCell ref="E118:F118"/>
    <mergeCell ref="E119:F119"/>
    <mergeCell ref="D109:F109"/>
    <mergeCell ref="C111:F111"/>
    <mergeCell ref="E112:F112"/>
    <mergeCell ref="E113:F113"/>
    <mergeCell ref="D101:F101"/>
    <mergeCell ref="D102:F102"/>
    <mergeCell ref="D103:F103"/>
    <mergeCell ref="C105:F105"/>
    <mergeCell ref="D106:F106"/>
    <mergeCell ref="D107:F107"/>
    <mergeCell ref="C94:F94"/>
    <mergeCell ref="D95:F95"/>
    <mergeCell ref="D96:F96"/>
    <mergeCell ref="D97:F97"/>
    <mergeCell ref="C99:F99"/>
    <mergeCell ref="D100:F100"/>
    <mergeCell ref="D81:F81"/>
    <mergeCell ref="D82:F82"/>
    <mergeCell ref="D83:F83"/>
    <mergeCell ref="D90:F90"/>
    <mergeCell ref="D91:F91"/>
    <mergeCell ref="D92:F92"/>
    <mergeCell ref="C75:F75"/>
    <mergeCell ref="C76:F76"/>
    <mergeCell ref="D77:F77"/>
    <mergeCell ref="D78:F78"/>
    <mergeCell ref="D79:F79"/>
    <mergeCell ref="D80:F80"/>
    <mergeCell ref="D84:F84"/>
    <mergeCell ref="D85:F85"/>
    <mergeCell ref="D86:F86"/>
    <mergeCell ref="D88:F88"/>
    <mergeCell ref="D87:F87"/>
    <mergeCell ref="D89:F89"/>
    <mergeCell ref="D64:F64"/>
    <mergeCell ref="D65:F65"/>
    <mergeCell ref="D67:F67"/>
    <mergeCell ref="D68:F68"/>
    <mergeCell ref="D69:F69"/>
    <mergeCell ref="D72:F72"/>
    <mergeCell ref="D57:F57"/>
    <mergeCell ref="D58:F58"/>
    <mergeCell ref="D59:F59"/>
    <mergeCell ref="C61:F61"/>
    <mergeCell ref="D62:F62"/>
    <mergeCell ref="D63:F63"/>
    <mergeCell ref="D66:F66"/>
    <mergeCell ref="D70:F70"/>
    <mergeCell ref="D71:F71"/>
    <mergeCell ref="D50:F50"/>
    <mergeCell ref="D51:F51"/>
    <mergeCell ref="C54:F54"/>
    <mergeCell ref="D55:F55"/>
    <mergeCell ref="D56:F56"/>
    <mergeCell ref="D44:F44"/>
    <mergeCell ref="D45:F45"/>
    <mergeCell ref="D46:F46"/>
    <mergeCell ref="D47:F47"/>
    <mergeCell ref="D48:F48"/>
    <mergeCell ref="D49:F49"/>
    <mergeCell ref="E36:F36"/>
    <mergeCell ref="E37:F37"/>
    <mergeCell ref="E38:F38"/>
    <mergeCell ref="E39:F39"/>
    <mergeCell ref="E40:F40"/>
    <mergeCell ref="C43:F43"/>
    <mergeCell ref="C30:F30"/>
    <mergeCell ref="E31:F31"/>
    <mergeCell ref="E32:F32"/>
    <mergeCell ref="E33:F33"/>
    <mergeCell ref="E34:F34"/>
    <mergeCell ref="E35:F35"/>
    <mergeCell ref="C23:F23"/>
    <mergeCell ref="C24:F24"/>
    <mergeCell ref="D25:F25"/>
    <mergeCell ref="D26:F26"/>
    <mergeCell ref="D27:F27"/>
    <mergeCell ref="D28:F28"/>
    <mergeCell ref="D17:F17"/>
    <mergeCell ref="D18:F18"/>
    <mergeCell ref="D19:F19"/>
    <mergeCell ref="D20:F20"/>
    <mergeCell ref="D21:F21"/>
    <mergeCell ref="C22:F22"/>
    <mergeCell ref="D8:F8"/>
    <mergeCell ref="C12:F12"/>
    <mergeCell ref="D13:F13"/>
    <mergeCell ref="D14:F14"/>
    <mergeCell ref="D15:F15"/>
    <mergeCell ref="D16:F16"/>
    <mergeCell ref="C1:F1"/>
    <mergeCell ref="D3:F3"/>
    <mergeCell ref="D4:F4"/>
    <mergeCell ref="D5:F5"/>
    <mergeCell ref="D6:F6"/>
    <mergeCell ref="D7:F7"/>
    <mergeCell ref="D10:F10"/>
    <mergeCell ref="D9:F9"/>
  </mergeCells>
  <pageMargins left="0.78749999999999998" right="0.78749999999999998" top="1.0527777777777778" bottom="1.0527777777777778" header="0.78749999999999998" footer="0.78749999999999998"/>
  <pageSetup paperSize="9" scale="58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6" min="7" max="1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F25" sqref="F25"/>
    </sheetView>
  </sheetViews>
  <sheetFormatPr defaultRowHeight="42.75" customHeight="1" x14ac:dyDescent="0.2"/>
  <cols>
    <col min="1" max="1" width="10.85546875" customWidth="1"/>
    <col min="2" max="2" width="10" customWidth="1"/>
    <col min="3" max="3" width="76.85546875" customWidth="1"/>
    <col min="4" max="4" width="11.7109375" customWidth="1"/>
    <col min="5" max="5" width="13.28515625" customWidth="1"/>
    <col min="6" max="6" width="14.7109375" customWidth="1"/>
  </cols>
  <sheetData>
    <row r="1" spans="1:6" ht="42.75" customHeight="1" thickBot="1" x14ac:dyDescent="0.25">
      <c r="A1" s="360" t="s">
        <v>182</v>
      </c>
      <c r="B1" s="361"/>
      <c r="C1" s="361"/>
      <c r="D1" s="361"/>
      <c r="E1" s="361"/>
      <c r="F1" s="362"/>
    </row>
    <row r="2" spans="1:6" ht="42.75" customHeight="1" thickBot="1" x14ac:dyDescent="0.25">
      <c r="A2" s="363" t="s">
        <v>116</v>
      </c>
      <c r="B2" s="364"/>
      <c r="C2" s="364"/>
      <c r="D2" s="364"/>
      <c r="E2" s="364"/>
      <c r="F2" s="365"/>
    </row>
    <row r="3" spans="1:6" ht="42.75" customHeight="1" thickBot="1" x14ac:dyDescent="0.25">
      <c r="A3" s="85" t="s">
        <v>117</v>
      </c>
      <c r="B3" s="86" t="s">
        <v>199</v>
      </c>
      <c r="C3" s="86" t="s">
        <v>118</v>
      </c>
      <c r="D3" s="87" t="s">
        <v>192</v>
      </c>
      <c r="E3" s="87" t="s">
        <v>184</v>
      </c>
      <c r="F3" s="132" t="s">
        <v>183</v>
      </c>
    </row>
    <row r="4" spans="1:6" ht="42.75" customHeight="1" thickBot="1" x14ac:dyDescent="0.25">
      <c r="A4" s="129" t="s">
        <v>139</v>
      </c>
      <c r="B4" s="89">
        <v>12</v>
      </c>
      <c r="C4" s="71" t="s">
        <v>181</v>
      </c>
      <c r="D4" s="130">
        <v>16.899999999999999</v>
      </c>
      <c r="E4" s="131">
        <v>2</v>
      </c>
      <c r="F4" s="133">
        <f>(D4/B4)*E4</f>
        <v>2.8166666666666664</v>
      </c>
    </row>
    <row r="5" spans="1:6" ht="42.75" customHeight="1" thickBot="1" x14ac:dyDescent="0.25">
      <c r="A5" s="88" t="s">
        <v>119</v>
      </c>
      <c r="B5" s="89">
        <v>4</v>
      </c>
      <c r="C5" s="90" t="s">
        <v>120</v>
      </c>
      <c r="D5" s="91">
        <v>73.400000000000006</v>
      </c>
      <c r="E5" s="131">
        <v>6</v>
      </c>
      <c r="F5" s="133">
        <f t="shared" ref="F5:F11" si="0">(D5/B5)*E5</f>
        <v>110.10000000000001</v>
      </c>
    </row>
    <row r="6" spans="1:6" ht="42.75" customHeight="1" thickBot="1" x14ac:dyDescent="0.25">
      <c r="A6" s="88" t="s">
        <v>180</v>
      </c>
      <c r="B6" s="89">
        <v>6</v>
      </c>
      <c r="C6" s="90" t="s">
        <v>121</v>
      </c>
      <c r="D6" s="91">
        <v>178.4</v>
      </c>
      <c r="E6" s="131">
        <v>4</v>
      </c>
      <c r="F6" s="133">
        <f t="shared" si="0"/>
        <v>118.93333333333334</v>
      </c>
    </row>
    <row r="7" spans="1:6" ht="42.75" customHeight="1" thickBot="1" x14ac:dyDescent="0.25">
      <c r="A7" s="88" t="s">
        <v>193</v>
      </c>
      <c r="B7" s="89">
        <v>36</v>
      </c>
      <c r="C7" s="90" t="s">
        <v>194</v>
      </c>
      <c r="D7" s="91">
        <v>15.13</v>
      </c>
      <c r="E7" s="131">
        <v>2</v>
      </c>
      <c r="F7" s="133">
        <f t="shared" si="0"/>
        <v>0.84055555555555561</v>
      </c>
    </row>
    <row r="8" spans="1:6" ht="42.75" customHeight="1" thickBot="1" x14ac:dyDescent="0.25">
      <c r="A8" s="88" t="s">
        <v>122</v>
      </c>
      <c r="B8" s="89">
        <v>6</v>
      </c>
      <c r="C8" s="90" t="s">
        <v>123</v>
      </c>
      <c r="D8" s="91">
        <v>21.53</v>
      </c>
      <c r="E8" s="131">
        <v>4</v>
      </c>
      <c r="F8" s="133">
        <f t="shared" si="0"/>
        <v>14.353333333333333</v>
      </c>
    </row>
    <row r="9" spans="1:6" ht="42.75" customHeight="1" thickBot="1" x14ac:dyDescent="0.25">
      <c r="A9" s="88" t="s">
        <v>190</v>
      </c>
      <c r="B9" s="89">
        <v>12</v>
      </c>
      <c r="C9" s="90" t="s">
        <v>191</v>
      </c>
      <c r="D9" s="138">
        <v>5.22</v>
      </c>
      <c r="E9" s="131">
        <v>2</v>
      </c>
      <c r="F9" s="133">
        <f t="shared" si="0"/>
        <v>0.87</v>
      </c>
    </row>
    <row r="10" spans="1:6" ht="42.75" customHeight="1" thickBot="1" x14ac:dyDescent="0.25">
      <c r="A10" s="88" t="s">
        <v>124</v>
      </c>
      <c r="B10" s="89">
        <v>4</v>
      </c>
      <c r="C10" s="90" t="s">
        <v>125</v>
      </c>
      <c r="D10" s="92">
        <v>17.43</v>
      </c>
      <c r="E10" s="131">
        <v>6</v>
      </c>
      <c r="F10" s="133">
        <f t="shared" si="0"/>
        <v>26.145</v>
      </c>
    </row>
    <row r="11" spans="1:6" ht="42.75" customHeight="1" thickBot="1" x14ac:dyDescent="0.25">
      <c r="A11" s="88" t="s">
        <v>126</v>
      </c>
      <c r="B11" s="89">
        <v>6</v>
      </c>
      <c r="C11" s="90" t="s">
        <v>127</v>
      </c>
      <c r="D11" s="91">
        <v>83.9</v>
      </c>
      <c r="E11" s="131">
        <v>4</v>
      </c>
      <c r="F11" s="133">
        <f t="shared" si="0"/>
        <v>55.933333333333337</v>
      </c>
    </row>
    <row r="12" spans="1:6" ht="42.75" customHeight="1" thickBot="1" x14ac:dyDescent="0.25">
      <c r="A12" s="366" t="s">
        <v>129</v>
      </c>
      <c r="B12" s="367"/>
      <c r="C12" s="367"/>
      <c r="D12" s="367"/>
      <c r="E12" s="368"/>
      <c r="F12" s="137">
        <f>SUM(F4:F11)</f>
        <v>329.99222222222227</v>
      </c>
    </row>
    <row r="13" spans="1:6" ht="42.75" customHeight="1" thickBot="1" x14ac:dyDescent="0.25">
      <c r="A13" s="366" t="s">
        <v>185</v>
      </c>
      <c r="B13" s="367"/>
      <c r="C13" s="367"/>
      <c r="D13" s="367"/>
      <c r="E13" s="368"/>
      <c r="F13" s="137">
        <f>F12*12</f>
        <v>3959.9066666666672</v>
      </c>
    </row>
    <row r="14" spans="1:6" ht="42.75" customHeight="1" thickBot="1" x14ac:dyDescent="0.25">
      <c r="A14" s="93"/>
      <c r="B14" s="94"/>
      <c r="C14" s="94"/>
      <c r="D14" s="94"/>
      <c r="E14" s="94"/>
      <c r="F14" s="95"/>
    </row>
    <row r="15" spans="1:6" ht="42.75" customHeight="1" thickBot="1" x14ac:dyDescent="0.25">
      <c r="A15" s="363" t="s">
        <v>130</v>
      </c>
      <c r="B15" s="364"/>
      <c r="C15" s="364"/>
      <c r="D15" s="364"/>
      <c r="E15" s="364"/>
      <c r="F15" s="365"/>
    </row>
    <row r="16" spans="1:6" ht="42.75" customHeight="1" thickBot="1" x14ac:dyDescent="0.25">
      <c r="A16" s="88" t="s">
        <v>180</v>
      </c>
      <c r="B16" s="89">
        <v>6</v>
      </c>
      <c r="C16" s="90" t="s">
        <v>131</v>
      </c>
      <c r="D16" s="134">
        <v>104.9</v>
      </c>
      <c r="E16" s="135">
        <v>4</v>
      </c>
      <c r="F16" s="136">
        <f>(D16/B16)*E16</f>
        <v>69.933333333333337</v>
      </c>
    </row>
    <row r="17" spans="1:6" ht="42.75" customHeight="1" thickBot="1" x14ac:dyDescent="0.25">
      <c r="A17" s="88" t="s">
        <v>124</v>
      </c>
      <c r="B17" s="89">
        <v>4</v>
      </c>
      <c r="C17" s="90" t="s">
        <v>132</v>
      </c>
      <c r="D17" s="134">
        <v>17.43</v>
      </c>
      <c r="E17" s="135">
        <v>6</v>
      </c>
      <c r="F17" s="136">
        <f t="shared" ref="F17:F23" si="1">(D17/B17)*E17</f>
        <v>26.145</v>
      </c>
    </row>
    <row r="18" spans="1:6" ht="42.75" customHeight="1" thickBot="1" x14ac:dyDescent="0.25">
      <c r="A18" s="88" t="s">
        <v>193</v>
      </c>
      <c r="B18" s="89">
        <v>36</v>
      </c>
      <c r="C18" s="90" t="s">
        <v>194</v>
      </c>
      <c r="D18" s="91">
        <v>15.13</v>
      </c>
      <c r="E18" s="131">
        <v>2</v>
      </c>
      <c r="F18" s="136">
        <f t="shared" si="1"/>
        <v>0.84055555555555561</v>
      </c>
    </row>
    <row r="19" spans="1:6" ht="42.75" customHeight="1" thickBot="1" x14ac:dyDescent="0.25">
      <c r="A19" s="88" t="s">
        <v>190</v>
      </c>
      <c r="B19" s="89">
        <v>12</v>
      </c>
      <c r="C19" s="90" t="s">
        <v>191</v>
      </c>
      <c r="D19" s="138">
        <v>5.22</v>
      </c>
      <c r="E19" s="131">
        <v>2</v>
      </c>
      <c r="F19" s="136">
        <f t="shared" si="1"/>
        <v>0.87</v>
      </c>
    </row>
    <row r="20" spans="1:6" ht="42.75" customHeight="1" thickBot="1" x14ac:dyDescent="0.25">
      <c r="A20" s="88" t="s">
        <v>186</v>
      </c>
      <c r="B20" s="89">
        <v>3</v>
      </c>
      <c r="C20" s="90" t="s">
        <v>133</v>
      </c>
      <c r="D20" s="134">
        <v>62.9</v>
      </c>
      <c r="E20" s="135">
        <v>8</v>
      </c>
      <c r="F20" s="136">
        <f t="shared" si="1"/>
        <v>167.73333333333332</v>
      </c>
    </row>
    <row r="21" spans="1:6" ht="42.75" customHeight="1" thickBot="1" x14ac:dyDescent="0.25">
      <c r="A21" s="88" t="s">
        <v>134</v>
      </c>
      <c r="B21" s="89">
        <v>6</v>
      </c>
      <c r="C21" s="90" t="s">
        <v>135</v>
      </c>
      <c r="D21" s="134">
        <v>23.27</v>
      </c>
      <c r="E21" s="135">
        <v>4</v>
      </c>
      <c r="F21" s="136">
        <f t="shared" si="1"/>
        <v>15.513333333333334</v>
      </c>
    </row>
    <row r="22" spans="1:6" ht="42.75" customHeight="1" thickBot="1" x14ac:dyDescent="0.25">
      <c r="A22" s="88" t="s">
        <v>136</v>
      </c>
      <c r="B22" s="89">
        <v>12</v>
      </c>
      <c r="C22" s="90" t="s">
        <v>137</v>
      </c>
      <c r="D22" s="134">
        <v>16.559999999999999</v>
      </c>
      <c r="E22" s="135">
        <v>2</v>
      </c>
      <c r="F22" s="136">
        <f t="shared" si="1"/>
        <v>2.76</v>
      </c>
    </row>
    <row r="23" spans="1:6" ht="42.75" customHeight="1" thickBot="1" x14ac:dyDescent="0.25">
      <c r="A23" s="88" t="s">
        <v>126</v>
      </c>
      <c r="B23" s="89">
        <v>6</v>
      </c>
      <c r="C23" s="90" t="s">
        <v>138</v>
      </c>
      <c r="D23" s="134">
        <v>83.9</v>
      </c>
      <c r="E23" s="135">
        <v>4</v>
      </c>
      <c r="F23" s="136">
        <f t="shared" si="1"/>
        <v>55.933333333333337</v>
      </c>
    </row>
    <row r="24" spans="1:6" ht="42.75" customHeight="1" thickBot="1" x14ac:dyDescent="0.25">
      <c r="A24" s="357" t="s">
        <v>129</v>
      </c>
      <c r="B24" s="358"/>
      <c r="C24" s="358"/>
      <c r="D24" s="358"/>
      <c r="E24" s="359"/>
      <c r="F24" s="137">
        <f>SUM(F16:F23)</f>
        <v>339.72888888888889</v>
      </c>
    </row>
    <row r="25" spans="1:6" ht="42.75" customHeight="1" thickBot="1" x14ac:dyDescent="0.25">
      <c r="A25" s="357" t="s">
        <v>128</v>
      </c>
      <c r="B25" s="358"/>
      <c r="C25" s="358"/>
      <c r="D25" s="358"/>
      <c r="E25" s="359"/>
      <c r="F25" s="137">
        <f>F24*12</f>
        <v>4076.7466666666669</v>
      </c>
    </row>
    <row r="26" spans="1:6" ht="42.75" customHeight="1" thickBot="1" x14ac:dyDescent="0.25">
      <c r="A26" s="84"/>
      <c r="B26" s="84"/>
      <c r="C26" s="84"/>
      <c r="D26" s="84"/>
      <c r="E26" s="84"/>
      <c r="F26" s="84"/>
    </row>
    <row r="27" spans="1:6" ht="42.75" customHeight="1" thickBot="1" x14ac:dyDescent="0.25">
      <c r="A27" s="357" t="s">
        <v>187</v>
      </c>
      <c r="B27" s="358"/>
      <c r="C27" s="358"/>
      <c r="D27" s="358"/>
      <c r="E27" s="359"/>
      <c r="F27" s="137">
        <f>AVERAGE(F12,F24)</f>
        <v>334.86055555555561</v>
      </c>
    </row>
    <row r="28" spans="1:6" ht="42.75" customHeight="1" thickBot="1" x14ac:dyDescent="0.25">
      <c r="A28" s="357" t="s">
        <v>188</v>
      </c>
      <c r="B28" s="358"/>
      <c r="C28" s="358"/>
      <c r="D28" s="358"/>
      <c r="E28" s="359"/>
      <c r="F28" s="137">
        <f>AVERAGE(F13,F25)</f>
        <v>4018.3266666666668</v>
      </c>
    </row>
  </sheetData>
  <mergeCells count="9">
    <mergeCell ref="A27:E27"/>
    <mergeCell ref="A28:E28"/>
    <mergeCell ref="A1:F1"/>
    <mergeCell ref="A2:F2"/>
    <mergeCell ref="A24:E24"/>
    <mergeCell ref="A25:E25"/>
    <mergeCell ref="A12:E12"/>
    <mergeCell ref="A13:E13"/>
    <mergeCell ref="A15:F15"/>
  </mergeCells>
  <pageMargins left="0.511811024" right="0.511811024" top="0.78740157499999996" bottom="0.78740157499999996" header="0.31496062000000002" footer="0.31496062000000002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30" zoomScaleNormal="130" workbookViewId="0">
      <selection activeCell="E11" sqref="E11"/>
    </sheetView>
  </sheetViews>
  <sheetFormatPr defaultRowHeight="12.75" x14ac:dyDescent="0.2"/>
  <cols>
    <col min="1" max="1" width="18.5703125" customWidth="1"/>
    <col min="2" max="2" width="12.42578125" customWidth="1"/>
    <col min="3" max="3" width="20" customWidth="1"/>
    <col min="4" max="4" width="11" customWidth="1"/>
    <col min="5" max="5" width="13" customWidth="1"/>
    <col min="6" max="6" width="11.28515625" customWidth="1"/>
  </cols>
  <sheetData>
    <row r="1" spans="1:6" ht="13.5" customHeight="1" thickBot="1" x14ac:dyDescent="0.25">
      <c r="A1" s="360" t="s">
        <v>195</v>
      </c>
      <c r="B1" s="361"/>
      <c r="C1" s="361"/>
      <c r="D1" s="361"/>
      <c r="E1" s="362"/>
      <c r="F1" s="140"/>
    </row>
    <row r="2" spans="1:6" ht="13.5" thickBot="1" x14ac:dyDescent="0.25">
      <c r="A2" s="363" t="s">
        <v>116</v>
      </c>
      <c r="B2" s="364"/>
      <c r="C2" s="364"/>
      <c r="D2" s="364"/>
      <c r="E2" s="365"/>
      <c r="F2" s="140"/>
    </row>
    <row r="3" spans="1:6" ht="36.75" thickBot="1" x14ac:dyDescent="0.25">
      <c r="A3" s="85" t="s">
        <v>117</v>
      </c>
      <c r="B3" s="86" t="s">
        <v>199</v>
      </c>
      <c r="C3" s="87" t="s">
        <v>192</v>
      </c>
      <c r="D3" s="87" t="s">
        <v>184</v>
      </c>
      <c r="E3" s="132" t="s">
        <v>183</v>
      </c>
    </row>
    <row r="4" spans="1:6" ht="35.25" customHeight="1" thickBot="1" x14ac:dyDescent="0.25">
      <c r="A4" s="129" t="s">
        <v>196</v>
      </c>
      <c r="B4" s="89">
        <v>6</v>
      </c>
      <c r="C4" s="130">
        <v>19.07</v>
      </c>
      <c r="D4" s="131">
        <v>2</v>
      </c>
      <c r="E4" s="133">
        <f>(C4/B4)*D4</f>
        <v>6.3566666666666665</v>
      </c>
    </row>
    <row r="5" spans="1:6" ht="31.5" customHeight="1" thickBot="1" x14ac:dyDescent="0.25">
      <c r="A5" s="88" t="s">
        <v>197</v>
      </c>
      <c r="B5" s="89">
        <v>24</v>
      </c>
      <c r="C5" s="91">
        <v>23.29</v>
      </c>
      <c r="D5" s="131">
        <v>2</v>
      </c>
      <c r="E5" s="133">
        <f t="shared" ref="E5:E10" si="0">(C5/B5)*D5</f>
        <v>1.9408333333333332</v>
      </c>
    </row>
    <row r="6" spans="1:6" ht="31.5" customHeight="1" thickBot="1" x14ac:dyDescent="0.25">
      <c r="A6" s="88" t="s">
        <v>202</v>
      </c>
      <c r="B6" s="89">
        <v>30</v>
      </c>
      <c r="C6" s="91">
        <v>27.19</v>
      </c>
      <c r="D6" s="131">
        <v>2</v>
      </c>
      <c r="E6" s="133">
        <f t="shared" si="0"/>
        <v>1.8126666666666666</v>
      </c>
    </row>
    <row r="7" spans="1:6" ht="31.5" customHeight="1" thickBot="1" x14ac:dyDescent="0.25">
      <c r="A7" s="88" t="s">
        <v>203</v>
      </c>
      <c r="B7" s="89">
        <v>30</v>
      </c>
      <c r="C7" s="91">
        <v>17</v>
      </c>
      <c r="D7" s="131">
        <v>2</v>
      </c>
      <c r="E7" s="133">
        <f t="shared" si="0"/>
        <v>1.1333333333333333</v>
      </c>
    </row>
    <row r="8" spans="1:6" ht="34.5" customHeight="1" thickBot="1" x14ac:dyDescent="0.25">
      <c r="A8" s="88" t="s">
        <v>198</v>
      </c>
      <c r="B8" s="89">
        <v>24</v>
      </c>
      <c r="C8" s="91">
        <v>4.08</v>
      </c>
      <c r="D8" s="131">
        <v>2</v>
      </c>
      <c r="E8" s="133">
        <f t="shared" si="0"/>
        <v>0.34</v>
      </c>
    </row>
    <row r="9" spans="1:6" ht="34.5" customHeight="1" thickBot="1" x14ac:dyDescent="0.25">
      <c r="A9" s="88" t="s">
        <v>200</v>
      </c>
      <c r="B9" s="89">
        <v>30</v>
      </c>
      <c r="C9" s="91">
        <v>275.60000000000002</v>
      </c>
      <c r="D9" s="131">
        <v>2</v>
      </c>
      <c r="E9" s="133">
        <f t="shared" si="0"/>
        <v>18.373333333333335</v>
      </c>
    </row>
    <row r="10" spans="1:6" ht="35.25" customHeight="1" thickBot="1" x14ac:dyDescent="0.25">
      <c r="A10" s="88" t="s">
        <v>201</v>
      </c>
      <c r="B10" s="89">
        <v>36</v>
      </c>
      <c r="C10" s="91">
        <v>43.27</v>
      </c>
      <c r="D10" s="131">
        <v>2</v>
      </c>
      <c r="E10" s="133">
        <f t="shared" si="0"/>
        <v>2.403888888888889</v>
      </c>
    </row>
    <row r="11" spans="1:6" ht="38.25" customHeight="1" thickBot="1" x14ac:dyDescent="0.25">
      <c r="A11" s="366" t="s">
        <v>129</v>
      </c>
      <c r="B11" s="367"/>
      <c r="C11" s="367"/>
      <c r="D11" s="368"/>
      <c r="E11" s="141">
        <f>SUM(E4:E10)</f>
        <v>32.360722222222222</v>
      </c>
      <c r="F11" s="139"/>
    </row>
    <row r="12" spans="1:6" ht="42" customHeight="1" thickBot="1" x14ac:dyDescent="0.25">
      <c r="A12" s="366" t="s">
        <v>185</v>
      </c>
      <c r="B12" s="367"/>
      <c r="C12" s="367"/>
      <c r="D12" s="368"/>
      <c r="E12" s="141">
        <f>E11*12</f>
        <v>388.32866666666666</v>
      </c>
      <c r="F12" s="139"/>
    </row>
    <row r="13" spans="1:6" ht="51" customHeight="1" x14ac:dyDescent="0.2"/>
    <row r="14" spans="1:6" ht="47.25" customHeight="1" x14ac:dyDescent="0.2"/>
  </sheetData>
  <mergeCells count="4">
    <mergeCell ref="A11:D11"/>
    <mergeCell ref="A1:E1"/>
    <mergeCell ref="A2:E2"/>
    <mergeCell ref="A12:D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4" sqref="G4"/>
    </sheetView>
  </sheetViews>
  <sheetFormatPr defaultRowHeight="12.75" x14ac:dyDescent="0.2"/>
  <cols>
    <col min="1" max="1" width="22.5703125" customWidth="1"/>
    <col min="2" max="2" width="21.7109375" customWidth="1"/>
    <col min="3" max="3" width="19.140625" customWidth="1"/>
    <col min="4" max="4" width="16.28515625" customWidth="1"/>
    <col min="5" max="5" width="12.140625" bestFit="1" customWidth="1"/>
  </cols>
  <sheetData>
    <row r="1" spans="1:9" ht="20.100000000000001" customHeight="1" x14ac:dyDescent="0.2">
      <c r="A1" s="379" t="s">
        <v>140</v>
      </c>
      <c r="B1" s="379"/>
      <c r="C1" s="379"/>
      <c r="D1" s="379"/>
      <c r="E1" s="379"/>
      <c r="F1" s="379"/>
      <c r="G1" s="379"/>
      <c r="H1" s="379"/>
      <c r="I1" s="379"/>
    </row>
    <row r="2" spans="1:9" ht="20.100000000000001" customHeight="1" x14ac:dyDescent="0.2">
      <c r="A2" s="78"/>
      <c r="B2" s="79"/>
      <c r="C2" s="79"/>
      <c r="D2" s="79"/>
      <c r="E2" s="79"/>
      <c r="F2" s="79"/>
      <c r="G2" s="79"/>
      <c r="H2" s="79"/>
      <c r="I2" s="79"/>
    </row>
    <row r="3" spans="1:9" ht="39.75" customHeight="1" x14ac:dyDescent="0.2">
      <c r="A3" s="384" t="s">
        <v>141</v>
      </c>
      <c r="B3" s="384"/>
      <c r="C3" s="118" t="s">
        <v>142</v>
      </c>
      <c r="D3" s="118" t="s">
        <v>143</v>
      </c>
      <c r="E3" s="385" t="s">
        <v>144</v>
      </c>
      <c r="F3" s="385"/>
      <c r="G3" s="118" t="s">
        <v>145</v>
      </c>
      <c r="H3" s="385" t="s">
        <v>189</v>
      </c>
      <c r="I3" s="385"/>
    </row>
    <row r="4" spans="1:9" ht="20.100000000000001" customHeight="1" x14ac:dyDescent="0.2">
      <c r="A4" s="375" t="s">
        <v>212</v>
      </c>
      <c r="B4" s="376"/>
      <c r="C4" s="119"/>
      <c r="D4" s="120"/>
      <c r="E4" s="377">
        <f>C4*D4</f>
        <v>0</v>
      </c>
      <c r="F4" s="377"/>
      <c r="G4" s="121"/>
      <c r="H4" s="378">
        <f>E4*G4</f>
        <v>0</v>
      </c>
      <c r="I4" s="378"/>
    </row>
    <row r="5" spans="1:9" ht="28.5" customHeight="1" x14ac:dyDescent="0.2">
      <c r="A5" s="80"/>
      <c r="B5" s="8"/>
      <c r="C5" s="81"/>
      <c r="D5" s="79"/>
      <c r="E5" s="79"/>
      <c r="F5" s="79"/>
      <c r="G5" s="79"/>
      <c r="H5" s="79"/>
      <c r="I5" s="79"/>
    </row>
    <row r="6" spans="1:9" ht="27.75" customHeight="1" x14ac:dyDescent="0.2">
      <c r="A6" s="379" t="s">
        <v>146</v>
      </c>
      <c r="B6" s="379"/>
      <c r="C6" s="379"/>
      <c r="D6" s="379"/>
      <c r="E6" s="379"/>
      <c r="F6" s="379"/>
      <c r="G6" s="379"/>
      <c r="H6" s="379"/>
      <c r="I6" s="379"/>
    </row>
    <row r="7" spans="1:9" ht="20.100000000000001" customHeight="1" x14ac:dyDescent="0.2">
      <c r="A7" s="78"/>
      <c r="B7" s="79"/>
      <c r="C7" s="79"/>
      <c r="D7" s="79"/>
      <c r="E7" s="79"/>
      <c r="F7" s="79"/>
      <c r="G7" s="79"/>
      <c r="H7" s="79"/>
      <c r="I7" s="79"/>
    </row>
    <row r="8" spans="1:9" ht="20.100000000000001" customHeight="1" x14ac:dyDescent="0.2">
      <c r="A8" s="380" t="s">
        <v>147</v>
      </c>
      <c r="B8" s="380"/>
      <c r="C8" s="380"/>
      <c r="D8" s="380"/>
      <c r="E8" s="380"/>
      <c r="F8" s="380"/>
      <c r="G8" s="380"/>
      <c r="H8" s="380"/>
      <c r="I8" s="380"/>
    </row>
    <row r="9" spans="1:9" ht="20.100000000000001" customHeight="1" x14ac:dyDescent="0.2">
      <c r="A9" s="381" t="s">
        <v>148</v>
      </c>
      <c r="B9" s="381"/>
      <c r="C9" s="381"/>
      <c r="D9" s="381"/>
      <c r="E9" s="381"/>
      <c r="F9" s="381"/>
      <c r="G9" s="381"/>
      <c r="H9" s="382" t="s">
        <v>149</v>
      </c>
      <c r="I9" s="382"/>
    </row>
    <row r="10" spans="1:9" ht="20.100000000000001" customHeight="1" x14ac:dyDescent="0.2">
      <c r="A10" s="369" t="s">
        <v>150</v>
      </c>
      <c r="B10" s="369"/>
      <c r="C10" s="369"/>
      <c r="D10" s="369"/>
      <c r="E10" s="369"/>
      <c r="F10" s="369"/>
      <c r="G10" s="369"/>
      <c r="H10" s="383">
        <f>H4</f>
        <v>0</v>
      </c>
      <c r="I10" s="383"/>
    </row>
    <row r="11" spans="1:9" ht="20.100000000000001" customHeight="1" thickBot="1" x14ac:dyDescent="0.25">
      <c r="A11" s="369" t="s">
        <v>151</v>
      </c>
      <c r="B11" s="369"/>
      <c r="C11" s="369"/>
      <c r="D11" s="369"/>
      <c r="E11" s="369"/>
      <c r="F11" s="369"/>
      <c r="G11" s="369"/>
      <c r="H11" s="370">
        <f>Geral!H16</f>
        <v>12</v>
      </c>
      <c r="I11" s="370"/>
    </row>
    <row r="12" spans="1:9" ht="20.100000000000001" customHeight="1" thickBot="1" x14ac:dyDescent="0.25">
      <c r="A12" s="371" t="s">
        <v>152</v>
      </c>
      <c r="B12" s="371"/>
      <c r="C12" s="371"/>
      <c r="D12" s="371"/>
      <c r="E12" s="371"/>
      <c r="F12" s="371"/>
      <c r="G12" s="372"/>
      <c r="H12" s="373">
        <f>H10*H11</f>
        <v>0</v>
      </c>
      <c r="I12" s="374"/>
    </row>
    <row r="13" spans="1:9" ht="20.100000000000001" customHeight="1" x14ac:dyDescent="0.2"/>
    <row r="14" spans="1:9" ht="20.100000000000001" customHeight="1" x14ac:dyDescent="0.2"/>
    <row r="15" spans="1:9" ht="20.100000000000001" customHeight="1" x14ac:dyDescent="0.2"/>
  </sheetData>
  <mergeCells count="17">
    <mergeCell ref="A1:I1"/>
    <mergeCell ref="A3:B3"/>
    <mergeCell ref="E3:F3"/>
    <mergeCell ref="H3:I3"/>
    <mergeCell ref="A11:G11"/>
    <mergeCell ref="H11:I11"/>
    <mergeCell ref="A12:G12"/>
    <mergeCell ref="H12:I12"/>
    <mergeCell ref="A4:B4"/>
    <mergeCell ref="E4:F4"/>
    <mergeCell ref="H4:I4"/>
    <mergeCell ref="A6:I6"/>
    <mergeCell ref="A8:I8"/>
    <mergeCell ref="A9:G9"/>
    <mergeCell ref="H9:I9"/>
    <mergeCell ref="A10:G10"/>
    <mergeCell ref="H10:I10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5A18E274C17B244899BE4791DDADA6A" ma:contentTypeVersion="4" ma:contentTypeDescription="Crie um novo documento." ma:contentTypeScope="" ma:versionID="8a03eda2f7b6039917905f51b7b4c565">
  <xsd:schema xmlns:xsd="http://www.w3.org/2001/XMLSchema" xmlns:xs="http://www.w3.org/2001/XMLSchema" xmlns:p="http://schemas.microsoft.com/office/2006/metadata/properties" xmlns:ns2="9a6c27eb-32da-4d3f-a3a9-33e45052b70e" xmlns:ns3="11d2184b-c02b-4a5e-bbd0-423a16a9adca" targetNamespace="http://schemas.microsoft.com/office/2006/metadata/properties" ma:root="true" ma:fieldsID="f3f68d09d467aeaea0ac96688966be96" ns2:_="" ns3:_="">
    <xsd:import namespace="9a6c27eb-32da-4d3f-a3a9-33e45052b70e"/>
    <xsd:import namespace="11d2184b-c02b-4a5e-bbd0-423a16a9a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c27eb-32da-4d3f-a3a9-33e45052b7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d2184b-c02b-4a5e-bbd0-423a16a9a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0AC8BF-0955-43EA-A727-89CDDC9379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E9E772-996F-4A4D-9EB9-8B1D533802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c27eb-32da-4d3f-a3a9-33e45052b70e"/>
    <ds:schemaRef ds:uri="11d2184b-c02b-4a5e-bbd0-423a16a9a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BDD7C-D33C-4FA9-B79C-54D90A7DE3FD}">
  <ds:schemaRefs>
    <ds:schemaRef ds:uri="http://purl.org/dc/terms/"/>
    <ds:schemaRef ds:uri="9a6c27eb-32da-4d3f-a3a9-33e45052b70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1d2184b-c02b-4a5e-bbd0-423a16a9adc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Geral</vt:lpstr>
      <vt:lpstr>VIGILANTE</vt:lpstr>
      <vt:lpstr>Unif</vt:lpstr>
      <vt:lpstr>Equip</vt:lpstr>
      <vt:lpstr>TOTAL</vt:lpstr>
      <vt:lpstr>Geral!Area_de_impressao</vt:lpstr>
      <vt:lpstr>VIGILANTE!Area_de_impressao</vt:lpstr>
      <vt:lpstr>Estudo_sobre_a_composição_dos_Custosdos_valores_limites_para_Serviço_de_Vigilância___Estado_de_São_Paulo_2018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Franklin Brasil Santos</dc:creator>
  <cp:lastModifiedBy>user</cp:lastModifiedBy>
  <cp:revision/>
  <cp:lastPrinted>2018-07-30T18:39:06Z</cp:lastPrinted>
  <dcterms:created xsi:type="dcterms:W3CDTF">2011-10-09T16:09:02Z</dcterms:created>
  <dcterms:modified xsi:type="dcterms:W3CDTF">2021-09-21T18:24:00Z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0x01010095A18E274C17B244899BE4791DDADA6A</vt:lpwstr>
  </property>
</Properties>
</file>